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30" windowHeight="4650" firstSheet="1" activeTab="1"/>
  </bookViews>
  <sheets>
    <sheet name="К2 на 2006г." sheetId="1" r:id="rId1"/>
    <sheet name="2017 г" sheetId="2" r:id="rId2"/>
  </sheets>
  <definedNames>
    <definedName name="_xlnm.Print_Area" localSheetId="1">'2017 г'!$A$1:$AD$97</definedName>
    <definedName name="_xlnm.Print_Area" localSheetId="0">'К2 на 2006г.'!$A$1:$AH$92</definedName>
  </definedNames>
  <calcPr fullCalcOnLoad="1"/>
</workbook>
</file>

<file path=xl/sharedStrings.xml><?xml version="1.0" encoding="utf-8"?>
<sst xmlns="http://schemas.openxmlformats.org/spreadsheetml/2006/main" count="476" uniqueCount="188">
  <si>
    <t>ЗНАЧЕНИЯ</t>
  </si>
  <si>
    <t>№ п/п</t>
  </si>
  <si>
    <t>Виды предпринимательской деятельности</t>
  </si>
  <si>
    <t>значение коэффициента К2</t>
  </si>
  <si>
    <t>Чемал</t>
  </si>
  <si>
    <t>остальные села</t>
  </si>
  <si>
    <t>Оказание бытовых услуг, в т.ч.:</t>
  </si>
  <si>
    <t>1.1.</t>
  </si>
  <si>
    <t>ремонт обуви и изделий из меха</t>
  </si>
  <si>
    <t>1.2.</t>
  </si>
  <si>
    <t>ремонт, изготовление, установка металлоизделий:</t>
  </si>
  <si>
    <t>1.2.1.</t>
  </si>
  <si>
    <t>металлических дверных и оконных блоков, оконных рам и дверных полотен, ставней, ворот, крыш, решеток</t>
  </si>
  <si>
    <t>1.2.2.</t>
  </si>
  <si>
    <t>металлической галантереи, ключей, номерных знаков, указателей улиц и номеров домов</t>
  </si>
  <si>
    <t>1.2.3.</t>
  </si>
  <si>
    <t>прочих металлических изделий</t>
  </si>
  <si>
    <t>1.3.</t>
  </si>
  <si>
    <t>ремонт часов и ювелирных изделий:</t>
  </si>
  <si>
    <t>1.3.1.</t>
  </si>
  <si>
    <t>ремонт часов</t>
  </si>
  <si>
    <t>1.3.2.</t>
  </si>
  <si>
    <t>ремонт ювелирных изделий</t>
  </si>
  <si>
    <t>1.4.</t>
  </si>
  <si>
    <t>ремонт и обслуживание бытовой техники, компьютеров и оргтехники</t>
  </si>
  <si>
    <t>1.5.</t>
  </si>
  <si>
    <t>услуги прачечных, химчисток и фотоателье</t>
  </si>
  <si>
    <t>1.6.</t>
  </si>
  <si>
    <t>1.6.2.</t>
  </si>
  <si>
    <t>услуги парикмахерских</t>
  </si>
  <si>
    <t>1.7.</t>
  </si>
  <si>
    <t>ремонт и пошив швейных, кожаных изделий, головных уборов и изделий текстильной галантереи, ремонт, пошив и вязание трикотажных изделий</t>
  </si>
  <si>
    <t>1.8.</t>
  </si>
  <si>
    <t>услуги по прокату</t>
  </si>
  <si>
    <t xml:space="preserve"> 1.9.</t>
  </si>
  <si>
    <t>иные бытовые услуги</t>
  </si>
  <si>
    <t>Оказание ветеринарных услуг</t>
  </si>
  <si>
    <t>3.1.</t>
  </si>
  <si>
    <t>ремонт и техническое обслуживание автотранспортных средств</t>
  </si>
  <si>
    <t>3.2.</t>
  </si>
  <si>
    <t>мойка, полирование, чистка автотранспортных средств</t>
  </si>
  <si>
    <t>3.3.</t>
  </si>
  <si>
    <t>буксировка автотранспортных средств</t>
  </si>
  <si>
    <t>3.4.</t>
  </si>
  <si>
    <t>ремонт, замена и установка шин, балансировка колес</t>
  </si>
  <si>
    <t>3.5.</t>
  </si>
  <si>
    <t>прочие виды услуг</t>
  </si>
  <si>
    <t>Оказание автотранспортных услуг, осуществляющих организациями и индивидуальными предпринимателями по перевозке грузов и пассажиров</t>
  </si>
  <si>
    <t xml:space="preserve"> № п/п</t>
  </si>
  <si>
    <t>Куюс, Эдиган, Ороктой, Еланда</t>
  </si>
  <si>
    <t>от 10,1 до 20 кв.м</t>
  </si>
  <si>
    <t>от 20,1 до 35 кв.м</t>
  </si>
  <si>
    <t>от 35,1 до 55 кв.м</t>
  </si>
  <si>
    <t>от 55,1 до 85 кв.м</t>
  </si>
  <si>
    <t>от 85,1 до 105 кв.м</t>
  </si>
  <si>
    <t>от 105,1 до 150 кв.м</t>
  </si>
  <si>
    <t>Розничная торговля, осуществляемая через объекты стационарной торговой сети, имеющие торговые залы:</t>
  </si>
  <si>
    <t>6.1.</t>
  </si>
  <si>
    <t>6.2.</t>
  </si>
  <si>
    <t>6.3.</t>
  </si>
  <si>
    <t>6.4.</t>
  </si>
  <si>
    <t>6.5.</t>
  </si>
  <si>
    <t xml:space="preserve">Автомобили, запчасти и аксессуары для автомобилей     </t>
  </si>
  <si>
    <t>6.6.</t>
  </si>
  <si>
    <t>6.7.</t>
  </si>
  <si>
    <t>6.8.</t>
  </si>
  <si>
    <t xml:space="preserve">Лесоматериалы, в том числе дрова                      </t>
  </si>
  <si>
    <t>6.9.</t>
  </si>
  <si>
    <t>6.10.</t>
  </si>
  <si>
    <t>6.11.</t>
  </si>
  <si>
    <t xml:space="preserve">Товары детского ассортимента (одежда, обувь, игрушки и т.п.)                                       </t>
  </si>
  <si>
    <t>Розничная торговля, осуществляемая через объекты стационарной торговой сети, не имеющие торговых залов, и розничная торговля, осуществляемая через объекты нестационарной торговой сети: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</si>
  <si>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</si>
  <si>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</si>
  <si>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</si>
  <si>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</si>
  <si>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</si>
  <si>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</si>
  <si>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</si>
  <si>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</si>
  <si>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</si>
  <si>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</si>
  <si>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</si>
  <si>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Оказание услуг общественного питания через объекты организации общественного питания, имеющие залы обслуживания посетителей</t>
  </si>
  <si>
    <t>9.1.</t>
  </si>
  <si>
    <t>Реализующие пиво и (или) алкогольную продукцию</t>
  </si>
  <si>
    <t>Не реализующие пиво и (или) алкогольную продукцию</t>
  </si>
  <si>
    <t>Оказание услуг общественного питания через объекты организации общественного питания, не имеющие залы обслуживания посетителей</t>
  </si>
  <si>
    <t>10.1.</t>
  </si>
  <si>
    <t>10.2.</t>
  </si>
  <si>
    <t>Оказание услуг по временному размещению и проживанию</t>
  </si>
  <si>
    <t>туристская база, кемпинг сезонного действия</t>
  </si>
  <si>
    <t>гостиница, туркомплекс, турбаза, мотель круглогодичного действия</t>
  </si>
  <si>
    <t xml:space="preserve">Продовольственные товары ,алкогольная продукция и табачные изделия                   </t>
  </si>
  <si>
    <t>Эликманар, Узнезя, Чепош, Усть-Сема, Катунь</t>
  </si>
  <si>
    <t xml:space="preserve">Продовольственные товары, пиво  и табачные изделия                   </t>
  </si>
  <si>
    <t>Строительные, отделочные материалы и оборудование</t>
  </si>
  <si>
    <t>Бытовая техника, оргтехника, осветительные приборы, средства связи, видеофототехника, а текже принадлежности к ним</t>
  </si>
  <si>
    <t>Мебель</t>
  </si>
  <si>
    <t>Газеты, журналы, прочая печатная продукция</t>
  </si>
  <si>
    <t xml:space="preserve">Прочие промышленные товары                                         </t>
  </si>
  <si>
    <t>до 35 кв.м</t>
  </si>
  <si>
    <t>от 35,1 до 50 кв.м</t>
  </si>
  <si>
    <t>от 50,1 до 100 кв.м</t>
  </si>
  <si>
    <t>от 100,1 до 200 кв.м</t>
  </si>
  <si>
    <t>от 200,1 до 300 кв.м</t>
  </si>
  <si>
    <t>от 300,1 до 400 кв.м</t>
  </si>
  <si>
    <t>от 400,1 до 500 кв.м</t>
  </si>
  <si>
    <t>до 10 кв.м</t>
  </si>
  <si>
    <t>Оказание услуг по передаче во временное владение и (или) в пользование  земельных участков для размещения объектов стационарной и нестационарной  торговой сети,  а также объектов организации общественного питания</t>
  </si>
  <si>
    <t>жилой дом, постройки на приусадебном участке</t>
  </si>
  <si>
    <t>9.2.</t>
  </si>
  <si>
    <t>Алкогольная продукция</t>
  </si>
  <si>
    <t>За чертой села</t>
  </si>
  <si>
    <t xml:space="preserve">  </t>
  </si>
  <si>
    <t>Межселенная территория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</si>
  <si>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</si>
  <si>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КОРРЕКТИРУЮЩЕГО КОЭФФИЦИЕНТА БАЗОВОЙ ДОХОДНОСТИ К2 на 2006 год</t>
  </si>
  <si>
    <t>Эликманар, Узнезя, Чепош, Усть-Сема</t>
  </si>
  <si>
    <t>оказание парикмахерских услуг:</t>
  </si>
  <si>
    <t>Оказание услуг по ремонту, техническому обслуживанию и мойке автотранспортных средств:</t>
  </si>
  <si>
    <t>Оказание услуг по хранению автотранспортных средств на платных стоянках</t>
  </si>
  <si>
    <t>Эликманар, Узнезя, Чепош, У-Сема</t>
  </si>
  <si>
    <t>до 6 кв.м</t>
  </si>
  <si>
    <t>от 6,1 до 10 кв.м</t>
  </si>
  <si>
    <t xml:space="preserve">Продовольственные товары                              </t>
  </si>
  <si>
    <t xml:space="preserve">Пиво                                                  </t>
  </si>
  <si>
    <t xml:space="preserve">Алкогольная продукция и табачные изделия                   </t>
  </si>
  <si>
    <t xml:space="preserve">Овощи, фрукты, цветы                                  </t>
  </si>
  <si>
    <t xml:space="preserve">Головные уборы и одежда из кожи и меха                </t>
  </si>
  <si>
    <t xml:space="preserve">Канцелярские товары, ученические тетради, книги и печатная продукция                                    </t>
  </si>
  <si>
    <t xml:space="preserve">Комиссионные товары                                   </t>
  </si>
  <si>
    <t xml:space="preserve">Спортивные и туристические товары                     </t>
  </si>
  <si>
    <t>6.12.</t>
  </si>
  <si>
    <t xml:space="preserve">Ювелирные изделия                                     </t>
  </si>
  <si>
    <t>6.13.</t>
  </si>
  <si>
    <t xml:space="preserve">Прочие товары                                         </t>
  </si>
  <si>
    <t>7.12.</t>
  </si>
  <si>
    <t>Разностная торговля, осуществляемая индивидуальными предпринимателями (за исключением торговли подакцизными товарами, лекарственными препаратами, изделиями из драгоценных камней, оружием и патронами к нему, меховыми изделиями и технически сложными товарам</t>
  </si>
  <si>
    <t>Услуги питания ресторана, кафе, бара, закусочной:</t>
  </si>
  <si>
    <t>9.1.1.</t>
  </si>
  <si>
    <t>9.1.2.</t>
  </si>
  <si>
    <t>Распространение и (или) размещение наружной рекламы с любым способом нанесения изображения, за исключением наружной рекламы в автоматической сменой изображения</t>
  </si>
  <si>
    <t>Распространение и (или) размещение наружной рекламы с автоматической сменой изображения</t>
  </si>
  <si>
    <t>Распространение и (или) размещение наружной рекламы посредством электронных табло</t>
  </si>
  <si>
    <t>Распространение и (или) размещение  рекламы на автобусах любых типов, трамваях, троллейбусах, легковых и грузовых автомобилях, прицепах, полуприцепах и прицепах-роспусках, речных судах</t>
  </si>
  <si>
    <t>х</t>
  </si>
  <si>
    <t>сельский (зеленый дом)</t>
  </si>
  <si>
    <t>Оказание услуг по передаче во временное владение и (или) пользование стационарных торговых мест, расположенных на рынках и в других местах торговли, не имеющих залов обслуживания посетителей</t>
  </si>
  <si>
    <t>.</t>
  </si>
  <si>
    <t>остальные села,Кемчик</t>
  </si>
  <si>
    <t>Эликманар,  Чепош, Усть-Сема</t>
  </si>
  <si>
    <t>продовольственные товары по социальной цене</t>
  </si>
  <si>
    <t xml:space="preserve">КОРРЕКТИРУЮЩЕГО КОЭФФИЦИЕНТА БАЗОВОЙ ДОХОДНОСТИ К2 </t>
  </si>
  <si>
    <t>Оказание услуг по ремонту, техническому обслуживанию и мойке автомототранспортных средств</t>
  </si>
  <si>
    <t>Оказание услуг по предоставлению во временное владение (в пользование) мест для стоянки автомототранспортных средств, а также по хранению автомототранспортных средств на платных стоянках (за исключением штрафных автостоянок)</t>
  </si>
  <si>
    <t>Размещение  рекламы с использованием внешних и внутренних поверхностей транспортных средств</t>
  </si>
  <si>
    <t>Оказание автотранспортных услуг по перевозке пассажиров и грузов,  осуществляемое организациями и индивидуальными предпринимателями, имеющими на праве собственности или ином праве (пользования, владения и (или) распоряжения) не более 20 транспортных средств, предназначенных для оказания таких услуг</t>
  </si>
  <si>
    <t>Розничная торговля, осуществляемая через магазины и павильоны с  площадью торгового зала не более 150 кв.м.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</si>
  <si>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объекты нестационарной торговой сети:</t>
  </si>
  <si>
    <t>8.1.</t>
  </si>
  <si>
    <t>8.2.</t>
  </si>
  <si>
    <t>Оказание услуг общественного питания, осуществляемое через  объекты организации общественного питания с площадью  зала обслуживания посетителей не более 150 кв. м. по каждому объекту организации общественного питания</t>
  </si>
  <si>
    <t>Оказание услуг общественного питания, осуществляемое через объекты организации общественного питания, не имеющие залы обслуживания посетителей</t>
  </si>
  <si>
    <t xml:space="preserve">Распространение наружной рекламы с использованием рекламных конструкций </t>
  </si>
  <si>
    <t>Оказание услуг по временному размещению и проживанию организациями и предпринимателями, использующими в каждом объекте предоставления данных услуг общую площадь помещений для временного размещения и проживания не более 500 кв.м.</t>
  </si>
  <si>
    <t>12.1.</t>
  </si>
  <si>
    <t>12.2.</t>
  </si>
  <si>
    <t>12.3.</t>
  </si>
  <si>
    <t>Оказание услуг по передаче во временное владение и (или) в пользование 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 не имеющих зала обслуживания посетителей</t>
  </si>
  <si>
    <t>техническое обслуживание и ремонт автотранспортных средств;                                                                                                                         техническое обслуживание и ремонт мотоциклов</t>
  </si>
  <si>
    <t>аренда и лизинг</t>
  </si>
  <si>
    <t xml:space="preserve">деятельность по чистке и уборке прочая, не включенная в другие группировки </t>
  </si>
  <si>
    <t xml:space="preserve">  деятельность в области фотографии;                               стирка и химическая чистка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</si>
  <si>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</si>
  <si>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</si>
  <si>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Производство готовых металлических изделий, кроме машин и оборудования;                                                                                                                ремонт металлоизделий;                                                                                                   ремонт металлоизделий бытового и хозяйственного назначения;                                                                                                              монтаж промышленных машин и оборудования</t>
  </si>
  <si>
    <t>ремонт бытовой техники;                                                                          ремонт компьютеров и коммуникационного оборудования</t>
  </si>
  <si>
    <t>ремонт  мебели</t>
  </si>
  <si>
    <t>1.9.</t>
  </si>
  <si>
    <t>1.10.</t>
  </si>
  <si>
    <t>1.11.</t>
  </si>
  <si>
    <t>деятельность бань и душевых  по предоставлению общегигиенических услуг;                                             деятельность саун, соляриев, салонов для снижения веса и похудения и т.п.</t>
  </si>
  <si>
    <t xml:space="preserve">ремонт обуви и прочих изделий из кожи;                                                              </t>
  </si>
  <si>
    <t>производство одежды;                                                                              производство кожи и изделий из кожи;                                                                 производство текстильных изделий;                                                         ремонт одежды и текстильных изделий</t>
  </si>
  <si>
    <t>1.12.</t>
  </si>
  <si>
    <t>1.13.</t>
  </si>
  <si>
    <t>деятельность по буксировке автотранспортных средств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</si>
</sst>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" fontId="2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2" fillId="0" borderId="12" xfId="0" applyNumberFormat="1" applyFont="1" applyBorder="1" applyAlignment="1">
      <alignment/>
    </xf>
    <xf numFmtId="0" fontId="2" fillId="33" borderId="14" xfId="0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3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2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2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" fontId="2" fillId="0" borderId="59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3</xdr:row>
      <xdr:rowOff>0</xdr:rowOff>
    </xdr:from>
    <xdr:to>
      <xdr:col>18</xdr:col>
      <xdr:colOff>533400</xdr:colOff>
      <xdr:row>10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15550" y="438150"/>
          <a:ext cx="2562225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к Решению 1-235 от "18" ноября  2005 года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"О системе налогообложения в виде единого налога на вмененный доход для отдельных видов деятельности на территории муниципального образования "Чемальский район"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11</xdr:col>
      <xdr:colOff>390525</xdr:colOff>
      <xdr:row>16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77075" y="38100"/>
          <a:ext cx="2790825" cy="310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к Решению  № 3-241от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"26" сентября  2017 года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О внесении изменений  в решение Совета депутатов Чемальского района №2-106 от 20.03.2009 г. "О системе налогообложения в виде единого налога на вмененный доход для отдельных видов деятельности на территории муниципального образования "Чемальский район"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"/>
  <sheetViews>
    <sheetView view="pageBreakPreview" zoomScaleSheetLayoutView="100" zoomScalePageLayoutView="0" workbookViewId="0" topLeftCell="C25">
      <selection activeCell="P41" sqref="P41"/>
    </sheetView>
  </sheetViews>
  <sheetFormatPr defaultColWidth="9.00390625" defaultRowHeight="12.75"/>
  <cols>
    <col min="1" max="1" width="5.875" style="0" customWidth="1"/>
    <col min="2" max="2" width="44.00390625" style="0" customWidth="1"/>
    <col min="3" max="3" width="6.125" style="0" customWidth="1"/>
    <col min="4" max="4" width="9.75390625" style="0" customWidth="1"/>
    <col min="5" max="5" width="8.375" style="0" customWidth="1"/>
    <col min="6" max="6" width="6.125" style="0" customWidth="1"/>
    <col min="7" max="7" width="5.875" style="0" customWidth="1"/>
    <col min="8" max="8" width="6.25390625" style="0" customWidth="1"/>
    <col min="9" max="9" width="6.875" style="0" customWidth="1"/>
    <col min="10" max="10" width="5.875" style="0" customWidth="1"/>
    <col min="11" max="11" width="8.125" style="0" customWidth="1"/>
    <col min="12" max="12" width="6.75390625" style="0" customWidth="1"/>
    <col min="13" max="13" width="7.25390625" style="0" customWidth="1"/>
    <col min="14" max="14" width="5.875" style="0" customWidth="1"/>
    <col min="15" max="15" width="6.875" style="0" customWidth="1"/>
    <col min="16" max="17" width="6.75390625" style="0" customWidth="1"/>
    <col min="18" max="18" width="5.875" style="0" customWidth="1"/>
    <col min="19" max="19" width="8.00390625" style="0" customWidth="1"/>
    <col min="20" max="21" width="6.75390625" style="0" customWidth="1"/>
    <col min="22" max="22" width="6.00390625" style="0" customWidth="1"/>
    <col min="23" max="23" width="7.75390625" style="0" customWidth="1"/>
    <col min="24" max="25" width="6.75390625" style="0" customWidth="1"/>
    <col min="26" max="26" width="5.75390625" style="0" customWidth="1"/>
    <col min="27" max="27" width="7.625" style="0" customWidth="1"/>
    <col min="28" max="29" width="6.75390625" style="0" customWidth="1"/>
    <col min="30" max="30" width="5.375" style="0" customWidth="1"/>
    <col min="31" max="31" width="7.875" style="0" customWidth="1"/>
    <col min="32" max="33" width="6.75390625" style="0" customWidth="1"/>
    <col min="34" max="34" width="5.75390625" style="0" customWidth="1"/>
  </cols>
  <sheetData>
    <row r="1" spans="1:6" ht="9" customHeight="1">
      <c r="A1" s="1"/>
      <c r="B1" s="1"/>
      <c r="C1" s="100"/>
      <c r="D1" s="100"/>
      <c r="E1" s="100"/>
      <c r="F1" s="100"/>
    </row>
    <row r="2" spans="1:6" ht="12.75">
      <c r="A2" s="101" t="s">
        <v>0</v>
      </c>
      <c r="B2" s="101"/>
      <c r="C2" s="101"/>
      <c r="D2" s="102"/>
      <c r="E2" s="102"/>
      <c r="F2" s="102"/>
    </row>
    <row r="3" spans="1:6" ht="12.75">
      <c r="A3" s="103" t="s">
        <v>117</v>
      </c>
      <c r="B3" s="103"/>
      <c r="C3" s="103"/>
      <c r="D3" s="104"/>
      <c r="E3" s="104"/>
      <c r="F3" s="105"/>
    </row>
    <row r="4" spans="1:6" ht="13.5" customHeight="1">
      <c r="A4" s="106" t="s">
        <v>1</v>
      </c>
      <c r="B4" s="108" t="s">
        <v>2</v>
      </c>
      <c r="C4" s="111" t="s">
        <v>3</v>
      </c>
      <c r="D4" s="112"/>
      <c r="E4" s="113"/>
      <c r="F4" s="3"/>
    </row>
    <row r="5" spans="1:6" ht="21.75" customHeight="1">
      <c r="A5" s="107"/>
      <c r="B5" s="109"/>
      <c r="C5" s="108" t="s">
        <v>4</v>
      </c>
      <c r="D5" s="108" t="s">
        <v>118</v>
      </c>
      <c r="E5" s="106" t="s">
        <v>5</v>
      </c>
      <c r="F5" s="114"/>
    </row>
    <row r="6" spans="1:6" ht="30.75" customHeight="1">
      <c r="A6" s="107"/>
      <c r="B6" s="110"/>
      <c r="C6" s="110"/>
      <c r="D6" s="110"/>
      <c r="E6" s="106"/>
      <c r="F6" s="114"/>
    </row>
    <row r="7" spans="1:6" ht="12.75">
      <c r="A7" s="24">
        <v>1</v>
      </c>
      <c r="B7" s="25" t="s">
        <v>6</v>
      </c>
      <c r="C7" s="120"/>
      <c r="D7" s="121"/>
      <c r="E7" s="122"/>
      <c r="F7" s="3"/>
    </row>
    <row r="8" spans="1:6" ht="12.75">
      <c r="A8" s="4" t="s">
        <v>7</v>
      </c>
      <c r="B8" s="5" t="s">
        <v>8</v>
      </c>
      <c r="C8" s="6">
        <v>0.32</v>
      </c>
      <c r="D8" s="6">
        <v>0.31</v>
      </c>
      <c r="E8" s="6">
        <v>0.3</v>
      </c>
      <c r="F8" s="7"/>
    </row>
    <row r="9" spans="1:6" ht="12.75">
      <c r="A9" s="4" t="s">
        <v>9</v>
      </c>
      <c r="B9" s="2" t="s">
        <v>10</v>
      </c>
      <c r="C9" s="111"/>
      <c r="D9" s="112"/>
      <c r="E9" s="113"/>
      <c r="F9" s="3"/>
    </row>
    <row r="10" spans="1:6" ht="15" customHeight="1">
      <c r="A10" s="4" t="s">
        <v>11</v>
      </c>
      <c r="B10" s="5" t="s">
        <v>12</v>
      </c>
      <c r="C10" s="6">
        <v>0.13</v>
      </c>
      <c r="D10" s="6">
        <v>0.12</v>
      </c>
      <c r="E10" s="6">
        <v>0.12</v>
      </c>
      <c r="F10" s="7"/>
    </row>
    <row r="11" spans="1:6" ht="22.5">
      <c r="A11" s="4" t="s">
        <v>13</v>
      </c>
      <c r="B11" s="5" t="s">
        <v>14</v>
      </c>
      <c r="C11" s="6">
        <v>0.13</v>
      </c>
      <c r="D11" s="6">
        <v>0.12</v>
      </c>
      <c r="E11" s="6">
        <v>0.12</v>
      </c>
      <c r="F11" s="7"/>
    </row>
    <row r="12" spans="1:6" ht="12.75">
      <c r="A12" s="4" t="s">
        <v>15</v>
      </c>
      <c r="B12" s="5" t="s">
        <v>16</v>
      </c>
      <c r="C12" s="6">
        <v>0.13</v>
      </c>
      <c r="D12" s="6">
        <v>0.12</v>
      </c>
      <c r="E12" s="6">
        <v>0.12</v>
      </c>
      <c r="F12" s="7"/>
    </row>
    <row r="13" spans="1:6" ht="12.75">
      <c r="A13" s="4" t="s">
        <v>17</v>
      </c>
      <c r="B13" s="2" t="s">
        <v>18</v>
      </c>
      <c r="C13" s="111"/>
      <c r="D13" s="112"/>
      <c r="E13" s="113"/>
      <c r="F13" s="3"/>
    </row>
    <row r="14" spans="1:6" ht="12.75">
      <c r="A14" s="4" t="s">
        <v>19</v>
      </c>
      <c r="B14" s="5" t="s">
        <v>20</v>
      </c>
      <c r="C14" s="6">
        <v>0.48</v>
      </c>
      <c r="D14" s="6">
        <v>0.48</v>
      </c>
      <c r="E14" s="6">
        <v>0.47</v>
      </c>
      <c r="F14" s="7"/>
    </row>
    <row r="15" spans="1:6" s="8" customFormat="1" ht="12.75">
      <c r="A15" s="4" t="s">
        <v>21</v>
      </c>
      <c r="B15" s="5" t="s">
        <v>22</v>
      </c>
      <c r="C15" s="6">
        <v>0.5</v>
      </c>
      <c r="D15" s="6">
        <v>0.49</v>
      </c>
      <c r="E15" s="6">
        <v>0.48</v>
      </c>
      <c r="F15" s="7"/>
    </row>
    <row r="16" spans="1:6" s="8" customFormat="1" ht="22.5">
      <c r="A16" s="4" t="s">
        <v>23</v>
      </c>
      <c r="B16" s="5" t="s">
        <v>24</v>
      </c>
      <c r="C16" s="6">
        <v>0.42</v>
      </c>
      <c r="D16" s="6">
        <v>0.41</v>
      </c>
      <c r="E16" s="6">
        <v>0.4</v>
      </c>
      <c r="F16" s="7"/>
    </row>
    <row r="17" spans="1:7" s="8" customFormat="1" ht="12.75">
      <c r="A17" s="4" t="s">
        <v>25</v>
      </c>
      <c r="B17" s="5" t="s">
        <v>26</v>
      </c>
      <c r="C17" s="6">
        <v>0.3</v>
      </c>
      <c r="D17" s="6">
        <v>0.29</v>
      </c>
      <c r="E17" s="6">
        <v>0.28</v>
      </c>
      <c r="F17" s="7"/>
      <c r="G17" s="21"/>
    </row>
    <row r="18" spans="1:7" ht="12.75">
      <c r="A18" s="26" t="s">
        <v>27</v>
      </c>
      <c r="B18" s="25" t="s">
        <v>119</v>
      </c>
      <c r="C18" s="120"/>
      <c r="D18" s="121"/>
      <c r="E18" s="122"/>
      <c r="F18" s="3"/>
      <c r="G18" s="3"/>
    </row>
    <row r="19" spans="1:7" s="8" customFormat="1" ht="12.75">
      <c r="A19" s="4" t="s">
        <v>28</v>
      </c>
      <c r="B19" s="5" t="s">
        <v>29</v>
      </c>
      <c r="C19" s="6">
        <v>0.27</v>
      </c>
      <c r="D19" s="6">
        <v>0.26</v>
      </c>
      <c r="E19" s="6">
        <v>0.24</v>
      </c>
      <c r="F19" s="7"/>
      <c r="G19" s="21"/>
    </row>
    <row r="20" spans="1:8" s="8" customFormat="1" ht="33.75">
      <c r="A20" s="4" t="s">
        <v>30</v>
      </c>
      <c r="B20" s="5" t="s">
        <v>31</v>
      </c>
      <c r="C20" s="6">
        <v>0.47</v>
      </c>
      <c r="D20" s="6">
        <v>0.46</v>
      </c>
      <c r="E20" s="6">
        <v>0.45</v>
      </c>
      <c r="F20" s="7"/>
      <c r="H20" s="8" t="s">
        <v>114</v>
      </c>
    </row>
    <row r="21" spans="1:6" s="8" customFormat="1" ht="12.75">
      <c r="A21" s="4" t="s">
        <v>32</v>
      </c>
      <c r="B21" s="5" t="s">
        <v>33</v>
      </c>
      <c r="C21" s="6">
        <v>0.31</v>
      </c>
      <c r="D21" s="6">
        <v>0.3</v>
      </c>
      <c r="E21" s="6">
        <v>0.28</v>
      </c>
      <c r="F21" s="7"/>
    </row>
    <row r="22" spans="1:6" s="8" customFormat="1" ht="12.75">
      <c r="A22" s="4" t="s">
        <v>34</v>
      </c>
      <c r="B22" s="5" t="s">
        <v>35</v>
      </c>
      <c r="C22" s="6">
        <v>0.33</v>
      </c>
      <c r="D22" s="6">
        <v>0.32</v>
      </c>
      <c r="E22" s="6">
        <v>0.3</v>
      </c>
      <c r="F22" s="7"/>
    </row>
    <row r="23" spans="1:6" s="8" customFormat="1" ht="12.75">
      <c r="A23" s="4">
        <v>2</v>
      </c>
      <c r="B23" s="5" t="s">
        <v>36</v>
      </c>
      <c r="C23" s="6">
        <v>0.21</v>
      </c>
      <c r="D23" s="6">
        <v>0.21</v>
      </c>
      <c r="E23" s="6">
        <v>0.19</v>
      </c>
      <c r="F23" s="7"/>
    </row>
    <row r="24" spans="1:6" ht="21" customHeight="1">
      <c r="A24" s="26">
        <v>3</v>
      </c>
      <c r="B24" s="25" t="s">
        <v>120</v>
      </c>
      <c r="C24" s="120"/>
      <c r="D24" s="121"/>
      <c r="E24" s="122"/>
      <c r="F24" s="3"/>
    </row>
    <row r="25" spans="1:6" s="8" customFormat="1" ht="22.5">
      <c r="A25" s="4" t="s">
        <v>37</v>
      </c>
      <c r="B25" s="5" t="s">
        <v>38</v>
      </c>
      <c r="C25" s="6">
        <v>0.23</v>
      </c>
      <c r="D25" s="6">
        <v>0.23</v>
      </c>
      <c r="E25" s="6">
        <v>0.22</v>
      </c>
      <c r="F25" s="7"/>
    </row>
    <row r="26" spans="1:6" s="8" customFormat="1" ht="12.75">
      <c r="A26" s="4" t="s">
        <v>39</v>
      </c>
      <c r="B26" s="5" t="s">
        <v>40</v>
      </c>
      <c r="C26" s="6">
        <v>0.22</v>
      </c>
      <c r="D26" s="6">
        <v>0.22</v>
      </c>
      <c r="E26" s="6">
        <v>0.22</v>
      </c>
      <c r="F26" s="7"/>
    </row>
    <row r="27" spans="1:6" s="8" customFormat="1" ht="12.75">
      <c r="A27" s="4" t="s">
        <v>41</v>
      </c>
      <c r="B27" s="5" t="s">
        <v>42</v>
      </c>
      <c r="C27" s="6">
        <v>0.22</v>
      </c>
      <c r="D27" s="6">
        <v>0.22</v>
      </c>
      <c r="E27" s="6">
        <v>0.22</v>
      </c>
      <c r="F27" s="7"/>
    </row>
    <row r="28" spans="1:6" s="8" customFormat="1" ht="12.75">
      <c r="A28" s="4" t="s">
        <v>43</v>
      </c>
      <c r="B28" s="5" t="s">
        <v>44</v>
      </c>
      <c r="C28" s="6">
        <v>0.24</v>
      </c>
      <c r="D28" s="6">
        <v>0.23</v>
      </c>
      <c r="E28" s="6">
        <v>0.22</v>
      </c>
      <c r="F28" s="7"/>
    </row>
    <row r="29" spans="1:6" s="8" customFormat="1" ht="12.75">
      <c r="A29" s="4" t="s">
        <v>45</v>
      </c>
      <c r="B29" s="5" t="s">
        <v>46</v>
      </c>
      <c r="C29" s="6">
        <v>0.22</v>
      </c>
      <c r="D29" s="6">
        <v>0.22</v>
      </c>
      <c r="E29" s="6">
        <v>0.22</v>
      </c>
      <c r="F29" s="27"/>
    </row>
    <row r="30" spans="1:6" s="8" customFormat="1" ht="22.5">
      <c r="A30" s="26">
        <v>4</v>
      </c>
      <c r="B30" s="28" t="s">
        <v>121</v>
      </c>
      <c r="C30" s="29">
        <v>0.27</v>
      </c>
      <c r="D30" s="29">
        <v>0.27</v>
      </c>
      <c r="E30" s="29">
        <v>0.27</v>
      </c>
      <c r="F30" s="27"/>
    </row>
    <row r="31" spans="1:6" s="8" customFormat="1" ht="33.75">
      <c r="A31" s="26">
        <v>5</v>
      </c>
      <c r="B31" s="28" t="s">
        <v>47</v>
      </c>
      <c r="C31" s="30">
        <v>1</v>
      </c>
      <c r="D31" s="30">
        <v>1</v>
      </c>
      <c r="E31" s="30">
        <v>1</v>
      </c>
      <c r="F31" s="27"/>
    </row>
    <row r="32" spans="1:34" s="9" customFormat="1" ht="12.75">
      <c r="A32" s="115" t="s">
        <v>48</v>
      </c>
      <c r="B32" s="115" t="s">
        <v>2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s="9" customFormat="1" ht="23.25" customHeight="1">
      <c r="A33" s="115"/>
      <c r="B33" s="115"/>
      <c r="C33" s="108" t="s">
        <v>4</v>
      </c>
      <c r="D33" s="108" t="s">
        <v>122</v>
      </c>
      <c r="E33" s="108" t="s">
        <v>49</v>
      </c>
      <c r="F33" s="108" t="s">
        <v>5</v>
      </c>
      <c r="G33" s="108" t="s">
        <v>4</v>
      </c>
      <c r="H33" s="108" t="s">
        <v>122</v>
      </c>
      <c r="I33" s="108" t="s">
        <v>49</v>
      </c>
      <c r="J33" s="108" t="s">
        <v>5</v>
      </c>
      <c r="K33" s="117" t="s">
        <v>4</v>
      </c>
      <c r="L33" s="108" t="s">
        <v>122</v>
      </c>
      <c r="M33" s="108" t="s">
        <v>49</v>
      </c>
      <c r="N33" s="108" t="s">
        <v>5</v>
      </c>
      <c r="O33" s="117" t="s">
        <v>4</v>
      </c>
      <c r="P33" s="108" t="s">
        <v>122</v>
      </c>
      <c r="Q33" s="108" t="s">
        <v>49</v>
      </c>
      <c r="R33" s="108" t="s">
        <v>5</v>
      </c>
      <c r="S33" s="117" t="s">
        <v>4</v>
      </c>
      <c r="T33" s="108" t="s">
        <v>122</v>
      </c>
      <c r="U33" s="108" t="s">
        <v>49</v>
      </c>
      <c r="V33" s="108" t="s">
        <v>5</v>
      </c>
      <c r="W33" s="117" t="s">
        <v>4</v>
      </c>
      <c r="X33" s="108" t="s">
        <v>122</v>
      </c>
      <c r="Y33" s="108" t="s">
        <v>49</v>
      </c>
      <c r="Z33" s="108" t="s">
        <v>5</v>
      </c>
      <c r="AA33" s="117" t="s">
        <v>4</v>
      </c>
      <c r="AB33" s="108" t="s">
        <v>122</v>
      </c>
      <c r="AC33" s="108" t="s">
        <v>49</v>
      </c>
      <c r="AD33" s="108" t="s">
        <v>5</v>
      </c>
      <c r="AE33" s="117" t="s">
        <v>4</v>
      </c>
      <c r="AF33" s="108" t="s">
        <v>122</v>
      </c>
      <c r="AG33" s="108" t="s">
        <v>49</v>
      </c>
      <c r="AH33" s="108" t="s">
        <v>5</v>
      </c>
    </row>
    <row r="34" spans="1:34" s="9" customFormat="1" ht="36.75" customHeight="1">
      <c r="A34" s="115"/>
      <c r="B34" s="115"/>
      <c r="C34" s="110"/>
      <c r="D34" s="110"/>
      <c r="E34" s="110"/>
      <c r="F34" s="110"/>
      <c r="G34" s="110"/>
      <c r="H34" s="110"/>
      <c r="I34" s="110"/>
      <c r="J34" s="110"/>
      <c r="K34" s="118"/>
      <c r="L34" s="119"/>
      <c r="M34" s="119"/>
      <c r="N34" s="119"/>
      <c r="O34" s="118"/>
      <c r="P34" s="119"/>
      <c r="Q34" s="119"/>
      <c r="R34" s="119"/>
      <c r="S34" s="118"/>
      <c r="T34" s="119"/>
      <c r="U34" s="119"/>
      <c r="V34" s="119"/>
      <c r="W34" s="118"/>
      <c r="X34" s="119"/>
      <c r="Y34" s="119"/>
      <c r="Z34" s="119"/>
      <c r="AA34" s="118"/>
      <c r="AB34" s="119"/>
      <c r="AC34" s="119"/>
      <c r="AD34" s="119"/>
      <c r="AE34" s="118"/>
      <c r="AF34" s="119"/>
      <c r="AG34" s="119"/>
      <c r="AH34" s="119"/>
    </row>
    <row r="35" spans="1:34" s="9" customFormat="1" ht="11.25" customHeight="1">
      <c r="A35" s="115"/>
      <c r="B35" s="115"/>
      <c r="C35" s="111" t="s">
        <v>123</v>
      </c>
      <c r="D35" s="112"/>
      <c r="E35" s="112"/>
      <c r="F35" s="112"/>
      <c r="G35" s="106" t="s">
        <v>124</v>
      </c>
      <c r="H35" s="106"/>
      <c r="I35" s="106"/>
      <c r="J35" s="106"/>
      <c r="K35" s="106" t="s">
        <v>50</v>
      </c>
      <c r="L35" s="106"/>
      <c r="M35" s="106"/>
      <c r="N35" s="106"/>
      <c r="O35" s="106" t="s">
        <v>51</v>
      </c>
      <c r="P35" s="106"/>
      <c r="Q35" s="106"/>
      <c r="R35" s="106"/>
      <c r="S35" s="106" t="s">
        <v>52</v>
      </c>
      <c r="T35" s="106"/>
      <c r="U35" s="106"/>
      <c r="V35" s="106"/>
      <c r="W35" s="106" t="s">
        <v>53</v>
      </c>
      <c r="X35" s="106"/>
      <c r="Y35" s="106"/>
      <c r="Z35" s="106"/>
      <c r="AA35" s="106" t="s">
        <v>54</v>
      </c>
      <c r="AB35" s="106"/>
      <c r="AC35" s="106"/>
      <c r="AD35" s="106"/>
      <c r="AE35" s="106" t="s">
        <v>55</v>
      </c>
      <c r="AF35" s="106"/>
      <c r="AG35" s="106"/>
      <c r="AH35" s="106"/>
    </row>
    <row r="36" spans="1:34" s="9" customFormat="1" ht="12.75" customHeight="1">
      <c r="A36" s="26">
        <v>6</v>
      </c>
      <c r="B36" s="123" t="s">
        <v>56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</row>
    <row r="37" spans="1:34" s="9" customFormat="1" ht="11.25">
      <c r="A37" s="4" t="s">
        <v>57</v>
      </c>
      <c r="B37" s="5" t="s">
        <v>125</v>
      </c>
      <c r="C37" s="33">
        <v>0.28</v>
      </c>
      <c r="D37" s="33">
        <v>0.26</v>
      </c>
      <c r="E37" s="33">
        <v>0.23</v>
      </c>
      <c r="F37" s="33">
        <f>0.23*1.05</f>
        <v>0.24150000000000002</v>
      </c>
      <c r="G37" s="33">
        <v>0.2</v>
      </c>
      <c r="H37" s="33">
        <v>0.2</v>
      </c>
      <c r="I37" s="33">
        <v>0.17</v>
      </c>
      <c r="J37" s="33">
        <f>0.17*1.05</f>
        <v>0.17850000000000002</v>
      </c>
      <c r="K37" s="33">
        <v>0.14</v>
      </c>
      <c r="L37" s="33">
        <v>0.14</v>
      </c>
      <c r="M37" s="33">
        <v>0.08</v>
      </c>
      <c r="N37" s="33">
        <v>0.13</v>
      </c>
      <c r="O37" s="33">
        <f>0.14*1.2</f>
        <v>0.168</v>
      </c>
      <c r="P37" s="33">
        <f>0.14*1.15</f>
        <v>0.161</v>
      </c>
      <c r="Q37" s="33">
        <v>0.14</v>
      </c>
      <c r="R37" s="33">
        <f>0.14*1.05</f>
        <v>0.14700000000000002</v>
      </c>
      <c r="S37" s="33">
        <f>0.1*1.2</f>
        <v>0.12</v>
      </c>
      <c r="T37" s="33">
        <f>0.1*1.15</f>
        <v>0.11499999999999999</v>
      </c>
      <c r="U37" s="33">
        <v>0.1</v>
      </c>
      <c r="V37" s="33">
        <f>0.1*1.05</f>
        <v>0.10500000000000001</v>
      </c>
      <c r="W37" s="33">
        <f>0.1*1.2</f>
        <v>0.12</v>
      </c>
      <c r="X37" s="33">
        <f>0.1*1.15</f>
        <v>0.11499999999999999</v>
      </c>
      <c r="Y37" s="33">
        <v>0.1</v>
      </c>
      <c r="Z37" s="33">
        <f>0.1*1.05</f>
        <v>0.10500000000000001</v>
      </c>
      <c r="AA37" s="33">
        <f>0.1*1.2</f>
        <v>0.12</v>
      </c>
      <c r="AB37" s="33">
        <f>0.1*1.15</f>
        <v>0.11499999999999999</v>
      </c>
      <c r="AC37" s="33">
        <v>0.1</v>
      </c>
      <c r="AD37" s="33">
        <f>0.1*1.05</f>
        <v>0.10500000000000001</v>
      </c>
      <c r="AE37" s="33">
        <f>0.07*1.2</f>
        <v>0.084</v>
      </c>
      <c r="AF37" s="33">
        <f>0.07*1.15</f>
        <v>0.0805</v>
      </c>
      <c r="AG37" s="33">
        <v>0.07</v>
      </c>
      <c r="AH37" s="33">
        <f>0.07*1.05</f>
        <v>0.07350000000000001</v>
      </c>
    </row>
    <row r="38" spans="1:34" s="9" customFormat="1" ht="11.25">
      <c r="A38" s="4" t="s">
        <v>58</v>
      </c>
      <c r="B38" s="5" t="s">
        <v>126</v>
      </c>
      <c r="C38" s="33">
        <v>0.36</v>
      </c>
      <c r="D38" s="33">
        <v>0.35</v>
      </c>
      <c r="E38" s="33">
        <v>0.3</v>
      </c>
      <c r="F38" s="33">
        <f>0.3*1.05</f>
        <v>0.315</v>
      </c>
      <c r="G38" s="33">
        <v>0.26</v>
      </c>
      <c r="H38" s="33">
        <v>0.25</v>
      </c>
      <c r="I38" s="33">
        <v>0.22</v>
      </c>
      <c r="J38" s="33">
        <f>0.22*1.05</f>
        <v>0.231</v>
      </c>
      <c r="K38" s="33">
        <f>0.15*1.2</f>
        <v>0.18</v>
      </c>
      <c r="L38" s="33">
        <f>0.15*1.15</f>
        <v>0.1725</v>
      </c>
      <c r="M38" s="33">
        <v>0.1</v>
      </c>
      <c r="N38" s="33">
        <v>0.16</v>
      </c>
      <c r="O38" s="33">
        <f>0.18*1.2</f>
        <v>0.216</v>
      </c>
      <c r="P38" s="33">
        <f>0.18*1.15</f>
        <v>0.207</v>
      </c>
      <c r="Q38" s="33">
        <v>0.18</v>
      </c>
      <c r="R38" s="33">
        <f>0.18*1.05</f>
        <v>0.189</v>
      </c>
      <c r="S38" s="33">
        <f>0.13*1.2</f>
        <v>0.156</v>
      </c>
      <c r="T38" s="33">
        <f>0.13*1.15</f>
        <v>0.1495</v>
      </c>
      <c r="U38" s="33">
        <v>0.13</v>
      </c>
      <c r="V38" s="33">
        <f>0.13*1.05</f>
        <v>0.1365</v>
      </c>
      <c r="W38" s="33">
        <f>0.14*1.2</f>
        <v>0.168</v>
      </c>
      <c r="X38" s="33">
        <f>0.14*1.15</f>
        <v>0.161</v>
      </c>
      <c r="Y38" s="33">
        <v>0.14</v>
      </c>
      <c r="Z38" s="33">
        <f>0.14*1.05</f>
        <v>0.14700000000000002</v>
      </c>
      <c r="AA38" s="33">
        <f>0.14*1.2</f>
        <v>0.168</v>
      </c>
      <c r="AB38" s="33">
        <f>0.14*1.15</f>
        <v>0.161</v>
      </c>
      <c r="AC38" s="33">
        <v>0.14</v>
      </c>
      <c r="AD38" s="33">
        <f>0.14*1.05</f>
        <v>0.14700000000000002</v>
      </c>
      <c r="AE38" s="33">
        <f>0.1*1.2</f>
        <v>0.12</v>
      </c>
      <c r="AF38" s="33">
        <f>0.1*1.15</f>
        <v>0.11499999999999999</v>
      </c>
      <c r="AG38" s="33">
        <v>0.1</v>
      </c>
      <c r="AH38" s="33">
        <f>0.1*1.05</f>
        <v>0.10500000000000001</v>
      </c>
    </row>
    <row r="39" spans="1:34" s="36" customFormat="1" ht="11.25">
      <c r="A39" s="10" t="s">
        <v>59</v>
      </c>
      <c r="B39" s="34" t="s">
        <v>127</v>
      </c>
      <c r="C39" s="35">
        <v>0.58</v>
      </c>
      <c r="D39" s="35">
        <v>0.55</v>
      </c>
      <c r="E39" s="35">
        <v>0.48</v>
      </c>
      <c r="F39" s="35">
        <f>0.48*1.05</f>
        <v>0.504</v>
      </c>
      <c r="G39" s="35">
        <v>0.41</v>
      </c>
      <c r="H39" s="35">
        <v>0.39</v>
      </c>
      <c r="I39" s="35">
        <v>0.34</v>
      </c>
      <c r="J39" s="35">
        <f>0.34*1.05</f>
        <v>0.35700000000000004</v>
      </c>
      <c r="K39" s="35">
        <f>0.24*1.2</f>
        <v>0.288</v>
      </c>
      <c r="L39" s="35">
        <f>0.24*1.15</f>
        <v>0.27599999999999997</v>
      </c>
      <c r="M39" s="35">
        <v>0.15</v>
      </c>
      <c r="N39" s="35">
        <f>0.24*1.05</f>
        <v>0.252</v>
      </c>
      <c r="O39" s="35">
        <f>0.27*1.2</f>
        <v>0.324</v>
      </c>
      <c r="P39" s="35">
        <f>0.27*1.15</f>
        <v>0.3105</v>
      </c>
      <c r="Q39" s="35">
        <v>0.27</v>
      </c>
      <c r="R39" s="35">
        <f>0.27*1.05</f>
        <v>0.28350000000000003</v>
      </c>
      <c r="S39" s="35">
        <f>0.2*1.2</f>
        <v>0.24</v>
      </c>
      <c r="T39" s="35">
        <f>0.2*1.15</f>
        <v>0.22999999999999998</v>
      </c>
      <c r="U39" s="35">
        <v>0.2</v>
      </c>
      <c r="V39" s="35">
        <f>0.2*1.05</f>
        <v>0.21000000000000002</v>
      </c>
      <c r="W39" s="35">
        <f>0.21*1.2</f>
        <v>0.252</v>
      </c>
      <c r="X39" s="35">
        <f>0.21*1.15</f>
        <v>0.24149999999999996</v>
      </c>
      <c r="Y39" s="35">
        <v>0.21</v>
      </c>
      <c r="Z39" s="35">
        <f>0.21*1.05</f>
        <v>0.2205</v>
      </c>
      <c r="AA39" s="35">
        <f>0.17*1.2</f>
        <v>0.20400000000000001</v>
      </c>
      <c r="AB39" s="35">
        <f>0.17*1.15</f>
        <v>0.1955</v>
      </c>
      <c r="AC39" s="35">
        <v>0.17</v>
      </c>
      <c r="AD39" s="35">
        <f>0.17*1.05</f>
        <v>0.17850000000000002</v>
      </c>
      <c r="AE39" s="35">
        <f>0.15*1.2</f>
        <v>0.18</v>
      </c>
      <c r="AF39" s="35">
        <f>0.15*1.15</f>
        <v>0.1725</v>
      </c>
      <c r="AG39" s="35">
        <v>0.15</v>
      </c>
      <c r="AH39" s="35">
        <f>0.15*1.05</f>
        <v>0.1575</v>
      </c>
    </row>
    <row r="40" spans="1:34" s="9" customFormat="1" ht="11.25">
      <c r="A40" s="4" t="s">
        <v>60</v>
      </c>
      <c r="B40" s="5" t="s">
        <v>128</v>
      </c>
      <c r="C40" s="33">
        <v>0.42</v>
      </c>
      <c r="D40" s="33">
        <v>0.4</v>
      </c>
      <c r="E40" s="33">
        <v>0.35</v>
      </c>
      <c r="F40" s="33">
        <f>0.35*1.05</f>
        <v>0.3675</v>
      </c>
      <c r="G40" s="33">
        <v>0.31</v>
      </c>
      <c r="H40" s="33">
        <v>0.3</v>
      </c>
      <c r="I40" s="33">
        <v>0.26</v>
      </c>
      <c r="J40" s="33">
        <f>0.26*1.05</f>
        <v>0.273</v>
      </c>
      <c r="K40" s="33">
        <f>0.18*1.2</f>
        <v>0.216</v>
      </c>
      <c r="L40" s="33">
        <f>0.18*1.15</f>
        <v>0.207</v>
      </c>
      <c r="M40" s="33">
        <v>0.11</v>
      </c>
      <c r="N40" s="33">
        <f>0.18*1.05</f>
        <v>0.189</v>
      </c>
      <c r="O40" s="33">
        <f>0.21*1.2</f>
        <v>0.252</v>
      </c>
      <c r="P40" s="33">
        <f>0.21*1.15</f>
        <v>0.24149999999999996</v>
      </c>
      <c r="Q40" s="33">
        <v>0.21</v>
      </c>
      <c r="R40" s="33">
        <f>0.21*1.05</f>
        <v>0.2205</v>
      </c>
      <c r="S40" s="33">
        <f>0.15*1.2</f>
        <v>0.18</v>
      </c>
      <c r="T40" s="33">
        <f>0.15*1.15</f>
        <v>0.1725</v>
      </c>
      <c r="U40" s="33">
        <v>0.15</v>
      </c>
      <c r="V40" s="33">
        <f>0.15*1.05</f>
        <v>0.1575</v>
      </c>
      <c r="W40" s="33">
        <f>0.16*1.2</f>
        <v>0.192</v>
      </c>
      <c r="X40" s="33">
        <f>0.16*1.15</f>
        <v>0.184</v>
      </c>
      <c r="Y40" s="33">
        <v>0.16</v>
      </c>
      <c r="Z40" s="33">
        <f>0.16*1.05</f>
        <v>0.168</v>
      </c>
      <c r="AA40" s="33">
        <f>0.15*1.2</f>
        <v>0.18</v>
      </c>
      <c r="AB40" s="33">
        <f>0.15*1.15</f>
        <v>0.1725</v>
      </c>
      <c r="AC40" s="33">
        <v>0.15</v>
      </c>
      <c r="AD40" s="33">
        <f>0.15*1.05</f>
        <v>0.1575</v>
      </c>
      <c r="AE40" s="33">
        <f>0.11*1.2</f>
        <v>0.132</v>
      </c>
      <c r="AF40" s="33">
        <f>0.11*1.15</f>
        <v>0.1265</v>
      </c>
      <c r="AG40" s="33">
        <v>0.11</v>
      </c>
      <c r="AH40" s="33">
        <f>0.11*1.05</f>
        <v>0.1155</v>
      </c>
    </row>
    <row r="41" spans="1:34" s="9" customFormat="1" ht="11.25">
      <c r="A41" s="4" t="s">
        <v>61</v>
      </c>
      <c r="B41" s="5" t="s">
        <v>62</v>
      </c>
      <c r="C41" s="33">
        <v>0.5</v>
      </c>
      <c r="D41" s="33">
        <v>0.48</v>
      </c>
      <c r="E41" s="33">
        <v>0.42</v>
      </c>
      <c r="F41" s="33">
        <f>0.42*1.05</f>
        <v>0.441</v>
      </c>
      <c r="G41" s="35">
        <v>0.35</v>
      </c>
      <c r="H41" s="35">
        <v>0.33</v>
      </c>
      <c r="I41" s="35">
        <v>0.29</v>
      </c>
      <c r="J41" s="35">
        <f>0.29*1.05</f>
        <v>0.3045</v>
      </c>
      <c r="K41" s="35">
        <f>0.2*1.2</f>
        <v>0.24</v>
      </c>
      <c r="L41" s="35">
        <f>0.2*1.15</f>
        <v>0.22999999999999998</v>
      </c>
      <c r="M41" s="35">
        <v>0.13</v>
      </c>
      <c r="N41" s="35">
        <f>0.2*1.05</f>
        <v>0.21000000000000002</v>
      </c>
      <c r="O41" s="33">
        <f>0.23*1.2</f>
        <v>0.276</v>
      </c>
      <c r="P41" s="33">
        <f>0.23*1.15</f>
        <v>0.2645</v>
      </c>
      <c r="Q41" s="33">
        <v>0.23</v>
      </c>
      <c r="R41" s="33">
        <f>0.23*1.05</f>
        <v>0.24150000000000002</v>
      </c>
      <c r="S41" s="33">
        <f>0.17*1.2</f>
        <v>0.20400000000000001</v>
      </c>
      <c r="T41" s="33">
        <f>0.17*1.15</f>
        <v>0.1955</v>
      </c>
      <c r="U41" s="33">
        <v>0.17</v>
      </c>
      <c r="V41" s="33">
        <f>0.17*1.05</f>
        <v>0.17850000000000002</v>
      </c>
      <c r="W41" s="33">
        <f>0.18*1.2</f>
        <v>0.216</v>
      </c>
      <c r="X41" s="33">
        <f>0.18*1.15</f>
        <v>0.207</v>
      </c>
      <c r="Y41" s="33">
        <v>0.18</v>
      </c>
      <c r="Z41" s="33">
        <f>0.18*1.05</f>
        <v>0.189</v>
      </c>
      <c r="AA41" s="33">
        <f>0.18*1.2</f>
        <v>0.216</v>
      </c>
      <c r="AB41" s="33">
        <f>0.18*1.15</f>
        <v>0.207</v>
      </c>
      <c r="AC41" s="33">
        <v>0.18</v>
      </c>
      <c r="AD41" s="33">
        <f>0.18*1.05</f>
        <v>0.189</v>
      </c>
      <c r="AE41" s="33">
        <f>0.13*1.2</f>
        <v>0.156</v>
      </c>
      <c r="AF41" s="33">
        <f>0.13*1.15</f>
        <v>0.1495</v>
      </c>
      <c r="AG41" s="33">
        <v>0.13</v>
      </c>
      <c r="AH41" s="33">
        <f>0.13*1.05</f>
        <v>0.1365</v>
      </c>
    </row>
    <row r="42" spans="1:34" s="9" customFormat="1" ht="11.25">
      <c r="A42" s="4" t="s">
        <v>63</v>
      </c>
      <c r="B42" s="5" t="s">
        <v>129</v>
      </c>
      <c r="C42" s="33">
        <v>0.7</v>
      </c>
      <c r="D42" s="33">
        <v>0.67</v>
      </c>
      <c r="E42" s="33">
        <v>0.58</v>
      </c>
      <c r="F42" s="33">
        <f>0.58*1.05</f>
        <v>0.609</v>
      </c>
      <c r="G42" s="33">
        <v>0.5</v>
      </c>
      <c r="H42" s="33">
        <v>0.48</v>
      </c>
      <c r="I42" s="33">
        <v>0.42</v>
      </c>
      <c r="J42" s="33">
        <f>0.42*1.05</f>
        <v>0.441</v>
      </c>
      <c r="K42" s="33">
        <f>0.29*1.2</f>
        <v>0.348</v>
      </c>
      <c r="L42" s="33">
        <f>0.29*1.15</f>
        <v>0.33349999999999996</v>
      </c>
      <c r="M42" s="33">
        <v>0.19</v>
      </c>
      <c r="N42" s="33">
        <f>0.29*1.05</f>
        <v>0.3045</v>
      </c>
      <c r="O42" s="33">
        <f>0.34*1.2</f>
        <v>0.40800000000000003</v>
      </c>
      <c r="P42" s="33">
        <f>0.34*1.15</f>
        <v>0.391</v>
      </c>
      <c r="Q42" s="33">
        <v>0.34</v>
      </c>
      <c r="R42" s="33">
        <f>0.34*1.05</f>
        <v>0.35700000000000004</v>
      </c>
      <c r="S42" s="33">
        <f>0.25*1.2</f>
        <v>0.3</v>
      </c>
      <c r="T42" s="33">
        <f>0.25*1.15</f>
        <v>0.2875</v>
      </c>
      <c r="U42" s="33">
        <v>0.25</v>
      </c>
      <c r="V42" s="33">
        <f>0.25*1.05</f>
        <v>0.2625</v>
      </c>
      <c r="W42" s="33">
        <f>0.26*1.2</f>
        <v>0.312</v>
      </c>
      <c r="X42" s="33">
        <f>0.26*1.15</f>
        <v>0.299</v>
      </c>
      <c r="Y42" s="33">
        <v>0.26</v>
      </c>
      <c r="Z42" s="33">
        <f>0.26*1.05</f>
        <v>0.273</v>
      </c>
      <c r="AA42" s="33">
        <f>0.16*1.2</f>
        <v>0.192</v>
      </c>
      <c r="AB42" s="33">
        <f>0.16*1.15</f>
        <v>0.184</v>
      </c>
      <c r="AC42" s="33">
        <v>0.16</v>
      </c>
      <c r="AD42" s="33">
        <f>0.16*1.05</f>
        <v>0.168</v>
      </c>
      <c r="AE42" s="33">
        <f>0.18*1.2</f>
        <v>0.216</v>
      </c>
      <c r="AF42" s="33">
        <f>0.18*1.15</f>
        <v>0.207</v>
      </c>
      <c r="AG42" s="33">
        <v>0.18</v>
      </c>
      <c r="AH42" s="33">
        <f>0.18*1.05</f>
        <v>0.189</v>
      </c>
    </row>
    <row r="43" spans="1:34" s="9" customFormat="1" ht="22.5">
      <c r="A43" s="4" t="s">
        <v>64</v>
      </c>
      <c r="B43" s="5" t="s">
        <v>130</v>
      </c>
      <c r="C43" s="33">
        <v>0.22</v>
      </c>
      <c r="D43" s="33">
        <v>0.21</v>
      </c>
      <c r="E43" s="33">
        <v>0.18</v>
      </c>
      <c r="F43" s="33">
        <f>0.18*1.05</f>
        <v>0.189</v>
      </c>
      <c r="G43" s="33">
        <v>0.17</v>
      </c>
      <c r="H43" s="33">
        <v>0.16</v>
      </c>
      <c r="I43" s="33">
        <v>0.14</v>
      </c>
      <c r="J43" s="33">
        <f>0.14*1.05</f>
        <v>0.14700000000000002</v>
      </c>
      <c r="K43" s="33">
        <f>0.1*1.2</f>
        <v>0.12</v>
      </c>
      <c r="L43" s="33">
        <f>0.1*1.15</f>
        <v>0.11499999999999999</v>
      </c>
      <c r="M43" s="33">
        <v>0.06</v>
      </c>
      <c r="N43" s="33">
        <f>0.1*1.05</f>
        <v>0.10500000000000001</v>
      </c>
      <c r="O43" s="33">
        <f>0.11*1.2</f>
        <v>0.132</v>
      </c>
      <c r="P43" s="33">
        <f>0.11*1.15</f>
        <v>0.1265</v>
      </c>
      <c r="Q43" s="33">
        <v>0.11</v>
      </c>
      <c r="R43" s="33">
        <f>0.11*1.05</f>
        <v>0.1155</v>
      </c>
      <c r="S43" s="33">
        <f>0.08*1.2</f>
        <v>0.096</v>
      </c>
      <c r="T43" s="33">
        <f>0.08*1.15</f>
        <v>0.092</v>
      </c>
      <c r="U43" s="33">
        <v>0.08</v>
      </c>
      <c r="V43" s="33">
        <f>0.08*1.05</f>
        <v>0.084</v>
      </c>
      <c r="W43" s="33">
        <f>0.08*1.2</f>
        <v>0.096</v>
      </c>
      <c r="X43" s="33">
        <f>0.08*1.15</f>
        <v>0.092</v>
      </c>
      <c r="Y43" s="33">
        <v>0.08</v>
      </c>
      <c r="Z43" s="33">
        <f>0.08*1.05</f>
        <v>0.084</v>
      </c>
      <c r="AA43" s="33">
        <f>0.08*1.2</f>
        <v>0.096</v>
      </c>
      <c r="AB43" s="33">
        <f>0.08*1.15</f>
        <v>0.092</v>
      </c>
      <c r="AC43" s="33">
        <v>0.08</v>
      </c>
      <c r="AD43" s="33">
        <f>0.08*1.05</f>
        <v>0.084</v>
      </c>
      <c r="AE43" s="33">
        <f>0.06*1.2</f>
        <v>0.072</v>
      </c>
      <c r="AF43" s="33">
        <f>0.06*1.15</f>
        <v>0.06899999999999999</v>
      </c>
      <c r="AG43" s="33">
        <v>0.06</v>
      </c>
      <c r="AH43" s="33">
        <f>0.06*1.05</f>
        <v>0.063</v>
      </c>
    </row>
    <row r="44" spans="1:34" s="9" customFormat="1" ht="11.25">
      <c r="A44" s="4" t="s">
        <v>65</v>
      </c>
      <c r="B44" s="5" t="s">
        <v>66</v>
      </c>
      <c r="C44" s="33">
        <v>0.59</v>
      </c>
      <c r="D44" s="33">
        <v>0.56</v>
      </c>
      <c r="E44" s="33">
        <v>0.49</v>
      </c>
      <c r="F44" s="33">
        <f>0.49*1.05</f>
        <v>0.5145</v>
      </c>
      <c r="G44" s="33">
        <v>0.41</v>
      </c>
      <c r="H44" s="33">
        <v>0.39</v>
      </c>
      <c r="I44" s="33">
        <v>0.34</v>
      </c>
      <c r="J44" s="33">
        <f>0.34*1.05</f>
        <v>0.35700000000000004</v>
      </c>
      <c r="K44" s="33">
        <f>0.24*1.2</f>
        <v>0.288</v>
      </c>
      <c r="L44" s="33">
        <f>0.24*1.15</f>
        <v>0.27599999999999997</v>
      </c>
      <c r="M44" s="33">
        <v>0.15</v>
      </c>
      <c r="N44" s="33">
        <f>0.2*1.05</f>
        <v>0.21000000000000002</v>
      </c>
      <c r="O44" s="33">
        <f>0.27*1.2</f>
        <v>0.324</v>
      </c>
      <c r="P44" s="33">
        <f>0.27*1.15</f>
        <v>0.3105</v>
      </c>
      <c r="Q44" s="33">
        <v>0.27</v>
      </c>
      <c r="R44" s="33">
        <f>0.27*1.05</f>
        <v>0.28350000000000003</v>
      </c>
      <c r="S44" s="33">
        <f>0.2*1.2</f>
        <v>0.24</v>
      </c>
      <c r="T44" s="33">
        <f>0.2*1.15</f>
        <v>0.22999999999999998</v>
      </c>
      <c r="U44" s="33">
        <v>0.2</v>
      </c>
      <c r="V44" s="33">
        <f>0.2*1.05</f>
        <v>0.21000000000000002</v>
      </c>
      <c r="W44" s="33">
        <f>0.21*1.2</f>
        <v>0.252</v>
      </c>
      <c r="X44" s="33">
        <f>0.21*1.15</f>
        <v>0.24149999999999996</v>
      </c>
      <c r="Y44" s="33">
        <v>0.21</v>
      </c>
      <c r="Z44" s="33">
        <f>0.21*1.05</f>
        <v>0.2205</v>
      </c>
      <c r="AA44" s="33">
        <f>0.12*1.2</f>
        <v>0.144</v>
      </c>
      <c r="AB44" s="33">
        <f>0.12*1.15</f>
        <v>0.13799999999999998</v>
      </c>
      <c r="AC44" s="33">
        <v>0.12</v>
      </c>
      <c r="AD44" s="33">
        <f>0.12*1.05</f>
        <v>0.126</v>
      </c>
      <c r="AE44" s="33">
        <f>0.15*1.2</f>
        <v>0.18</v>
      </c>
      <c r="AF44" s="33">
        <f>0.15*1.15</f>
        <v>0.1725</v>
      </c>
      <c r="AG44" s="33">
        <v>0.15</v>
      </c>
      <c r="AH44" s="33">
        <f>0.15*1.05</f>
        <v>0.1575</v>
      </c>
    </row>
    <row r="45" spans="1:34" s="9" customFormat="1" ht="11.25">
      <c r="A45" s="4" t="s">
        <v>67</v>
      </c>
      <c r="B45" s="5" t="s">
        <v>131</v>
      </c>
      <c r="C45" s="33">
        <v>0.12</v>
      </c>
      <c r="D45" s="33">
        <v>0.12</v>
      </c>
      <c r="E45" s="33">
        <v>0.1</v>
      </c>
      <c r="F45" s="33">
        <f>0.1*1.05</f>
        <v>0.10500000000000001</v>
      </c>
      <c r="G45" s="33">
        <v>0.08</v>
      </c>
      <c r="H45" s="33">
        <v>0.08</v>
      </c>
      <c r="I45" s="33">
        <v>0.07</v>
      </c>
      <c r="J45" s="33">
        <f>0.07*1.05</f>
        <v>0.07350000000000001</v>
      </c>
      <c r="K45" s="33">
        <f>0.05*1.2</f>
        <v>0.06</v>
      </c>
      <c r="L45" s="33">
        <f>0.05*1.15</f>
        <v>0.057499999999999996</v>
      </c>
      <c r="M45" s="33">
        <v>0.03</v>
      </c>
      <c r="N45" s="33">
        <f>0.05*1.05</f>
        <v>0.052500000000000005</v>
      </c>
      <c r="O45" s="35">
        <f>0.05*1.2</f>
        <v>0.06</v>
      </c>
      <c r="P45" s="33">
        <f>0.05*1.15</f>
        <v>0.057499999999999996</v>
      </c>
      <c r="Q45" s="33">
        <v>0.05</v>
      </c>
      <c r="R45" s="33">
        <f>0.05*1.05</f>
        <v>0.052500000000000005</v>
      </c>
      <c r="S45" s="33">
        <f>0.04*1.2</f>
        <v>0.048</v>
      </c>
      <c r="T45" s="33">
        <f>0.04*1.15</f>
        <v>0.046</v>
      </c>
      <c r="U45" s="33">
        <v>0.04</v>
      </c>
      <c r="V45" s="33">
        <f>0.04*1.05</f>
        <v>0.042</v>
      </c>
      <c r="W45" s="33">
        <f>0.04*1.2</f>
        <v>0.048</v>
      </c>
      <c r="X45" s="33">
        <f>0.04*1.15</f>
        <v>0.046</v>
      </c>
      <c r="Y45" s="33">
        <v>0.04</v>
      </c>
      <c r="Z45" s="33">
        <f>0.04*1.05</f>
        <v>0.042</v>
      </c>
      <c r="AA45" s="33">
        <f>0.06*1.2</f>
        <v>0.072</v>
      </c>
      <c r="AB45" s="33">
        <f>0.06*1.15</f>
        <v>0.06899999999999999</v>
      </c>
      <c r="AC45" s="33">
        <v>0.06</v>
      </c>
      <c r="AD45" s="33">
        <f>0.06*1.05</f>
        <v>0.063</v>
      </c>
      <c r="AE45" s="33">
        <f>0.03*1.2</f>
        <v>0.036</v>
      </c>
      <c r="AF45" s="33">
        <f>0.03*1.15</f>
        <v>0.034499999999999996</v>
      </c>
      <c r="AG45" s="33">
        <v>0.03</v>
      </c>
      <c r="AH45" s="33">
        <f>0.03*1.05</f>
        <v>0.0315</v>
      </c>
    </row>
    <row r="46" spans="1:34" s="9" customFormat="1" ht="11.25">
      <c r="A46" s="4" t="s">
        <v>68</v>
      </c>
      <c r="B46" s="5" t="s">
        <v>132</v>
      </c>
      <c r="C46" s="33">
        <v>0.24</v>
      </c>
      <c r="D46" s="33">
        <v>0.23</v>
      </c>
      <c r="E46" s="33">
        <v>0.2</v>
      </c>
      <c r="F46" s="33">
        <f>0.2*1.05</f>
        <v>0.21000000000000002</v>
      </c>
      <c r="G46" s="33">
        <v>0.17</v>
      </c>
      <c r="H46" s="33">
        <v>0.16</v>
      </c>
      <c r="I46" s="33">
        <v>0.14</v>
      </c>
      <c r="J46" s="33">
        <f>0.14*1.05</f>
        <v>0.14700000000000002</v>
      </c>
      <c r="K46" s="33">
        <f>0.1*1.2</f>
        <v>0.12</v>
      </c>
      <c r="L46" s="33">
        <f>0.1*1.15</f>
        <v>0.11499999999999999</v>
      </c>
      <c r="M46" s="33">
        <v>0.06</v>
      </c>
      <c r="N46" s="33">
        <f>0.1*1.05</f>
        <v>0.10500000000000001</v>
      </c>
      <c r="O46" s="33">
        <f>0.11*1.2</f>
        <v>0.132</v>
      </c>
      <c r="P46" s="33">
        <f>0.11*1.15</f>
        <v>0.1265</v>
      </c>
      <c r="Q46" s="33">
        <v>0.11</v>
      </c>
      <c r="R46" s="33">
        <f>0.11*1.05</f>
        <v>0.1155</v>
      </c>
      <c r="S46" s="33">
        <f>0.08*1.2</f>
        <v>0.096</v>
      </c>
      <c r="T46" s="33">
        <f>0.08*1.15</f>
        <v>0.092</v>
      </c>
      <c r="U46" s="33">
        <v>0.08</v>
      </c>
      <c r="V46" s="33">
        <f>0.08*1.05</f>
        <v>0.084</v>
      </c>
      <c r="W46" s="33">
        <f>0.08*1.2</f>
        <v>0.096</v>
      </c>
      <c r="X46" s="33">
        <f>0.08*1.15</f>
        <v>0.092</v>
      </c>
      <c r="Y46" s="33">
        <v>0.08</v>
      </c>
      <c r="Z46" s="33">
        <f>0.08*1.05</f>
        <v>0.084</v>
      </c>
      <c r="AA46" s="33">
        <f>0.09*1.2</f>
        <v>0.108</v>
      </c>
      <c r="AB46" s="33">
        <f>0.09*1.15</f>
        <v>0.1035</v>
      </c>
      <c r="AC46" s="33">
        <v>0.09</v>
      </c>
      <c r="AD46" s="33">
        <f>0.09*1.05</f>
        <v>0.0945</v>
      </c>
      <c r="AE46" s="33">
        <f>0.06*1.2</f>
        <v>0.072</v>
      </c>
      <c r="AF46" s="33">
        <f>0.06*1.15</f>
        <v>0.06899999999999999</v>
      </c>
      <c r="AG46" s="33">
        <v>0.06</v>
      </c>
      <c r="AH46" s="33">
        <f>0.06*1.05</f>
        <v>0.063</v>
      </c>
    </row>
    <row r="47" spans="1:34" s="9" customFormat="1" ht="22.5">
      <c r="A47" s="4" t="s">
        <v>69</v>
      </c>
      <c r="B47" s="5" t="s">
        <v>70</v>
      </c>
      <c r="C47" s="33">
        <v>0.3</v>
      </c>
      <c r="D47" s="33">
        <v>0.29</v>
      </c>
      <c r="E47" s="33">
        <v>0.25</v>
      </c>
      <c r="F47" s="33">
        <f>0.25*1.05</f>
        <v>0.2625</v>
      </c>
      <c r="G47" s="33">
        <v>0.23</v>
      </c>
      <c r="H47" s="33">
        <v>0.22</v>
      </c>
      <c r="I47" s="33">
        <v>0.19</v>
      </c>
      <c r="J47" s="33">
        <f>0.19*1.05</f>
        <v>0.1995</v>
      </c>
      <c r="K47" s="33">
        <f>0.13*1.2</f>
        <v>0.156</v>
      </c>
      <c r="L47" s="33">
        <f>0.13*1.15</f>
        <v>0.1495</v>
      </c>
      <c r="M47" s="33">
        <v>0.08</v>
      </c>
      <c r="N47" s="33">
        <f>0.13*1.05</f>
        <v>0.1365</v>
      </c>
      <c r="O47" s="33">
        <f>0.15*1.2</f>
        <v>0.18</v>
      </c>
      <c r="P47" s="33">
        <f>0.15*1.15</f>
        <v>0.1725</v>
      </c>
      <c r="Q47" s="33">
        <v>0.15</v>
      </c>
      <c r="R47" s="33">
        <f>0.15*1.05</f>
        <v>0.1575</v>
      </c>
      <c r="S47" s="33">
        <f>0.11*1.2</f>
        <v>0.132</v>
      </c>
      <c r="T47" s="33">
        <f>0.11*1.15</f>
        <v>0.1265</v>
      </c>
      <c r="U47" s="33">
        <v>0.11</v>
      </c>
      <c r="V47" s="33">
        <f>0.11*1.05</f>
        <v>0.1155</v>
      </c>
      <c r="W47" s="33">
        <f>0.11*1.2</f>
        <v>0.132</v>
      </c>
      <c r="X47" s="33">
        <f>0.11*1.15</f>
        <v>0.1265</v>
      </c>
      <c r="Y47" s="33">
        <v>0.11</v>
      </c>
      <c r="Z47" s="33">
        <f>0.11*1.05</f>
        <v>0.1155</v>
      </c>
      <c r="AA47" s="33">
        <f>0.12*1.2</f>
        <v>0.144</v>
      </c>
      <c r="AB47" s="33">
        <f>0.12*1.15</f>
        <v>0.13799999999999998</v>
      </c>
      <c r="AC47" s="33">
        <v>0.12</v>
      </c>
      <c r="AD47" s="33">
        <f>0.12*1.05</f>
        <v>0.126</v>
      </c>
      <c r="AE47" s="33">
        <f>0.08*1.2</f>
        <v>0.096</v>
      </c>
      <c r="AF47" s="33">
        <f>0.08*1.15</f>
        <v>0.092</v>
      </c>
      <c r="AG47" s="33">
        <v>0.08</v>
      </c>
      <c r="AH47" s="33">
        <f>0.08*1.05</f>
        <v>0.084</v>
      </c>
    </row>
    <row r="48" spans="1:34" s="9" customFormat="1" ht="11.25">
      <c r="A48" s="4" t="s">
        <v>133</v>
      </c>
      <c r="B48" s="5" t="s">
        <v>134</v>
      </c>
      <c r="C48" s="33">
        <v>0.72</v>
      </c>
      <c r="D48" s="33">
        <v>0.69</v>
      </c>
      <c r="E48" s="33">
        <v>0.6</v>
      </c>
      <c r="F48" s="33">
        <f>0.6*1.05</f>
        <v>0.63</v>
      </c>
      <c r="G48" s="33">
        <v>0.5</v>
      </c>
      <c r="H48" s="33">
        <v>0.48</v>
      </c>
      <c r="I48" s="33">
        <v>0.42</v>
      </c>
      <c r="J48" s="33">
        <f>0.42*1.05</f>
        <v>0.441</v>
      </c>
      <c r="K48" s="33">
        <f>0.29*1.2</f>
        <v>0.348</v>
      </c>
      <c r="L48" s="33">
        <f>0.29*1.15</f>
        <v>0.33349999999999996</v>
      </c>
      <c r="M48" s="33">
        <v>0.19</v>
      </c>
      <c r="N48" s="33">
        <f>0.29*1.05</f>
        <v>0.3045</v>
      </c>
      <c r="O48" s="33">
        <f>0.34*1.2</f>
        <v>0.40800000000000003</v>
      </c>
      <c r="P48" s="33">
        <f>0.34*1.15</f>
        <v>0.391</v>
      </c>
      <c r="Q48" s="33">
        <v>0.34</v>
      </c>
      <c r="R48" s="33">
        <f>0.34*1.05</f>
        <v>0.35700000000000004</v>
      </c>
      <c r="S48" s="33">
        <f>0.25*1.2</f>
        <v>0.3</v>
      </c>
      <c r="T48" s="33">
        <f>0.25*1.15</f>
        <v>0.2875</v>
      </c>
      <c r="U48" s="33">
        <v>0.25</v>
      </c>
      <c r="V48" s="33">
        <f>0.25*1.05</f>
        <v>0.2625</v>
      </c>
      <c r="W48" s="33">
        <f>0.26*1.2</f>
        <v>0.312</v>
      </c>
      <c r="X48" s="33">
        <f>0.26*1.15</f>
        <v>0.299</v>
      </c>
      <c r="Y48" s="33">
        <v>0.26</v>
      </c>
      <c r="Z48" s="33">
        <f>0.26*1.05</f>
        <v>0.273</v>
      </c>
      <c r="AA48" s="33">
        <f>0.19*1.2</f>
        <v>0.22799999999999998</v>
      </c>
      <c r="AB48" s="33">
        <f>0.19*1.15</f>
        <v>0.21849999999999997</v>
      </c>
      <c r="AC48" s="33">
        <v>0.19</v>
      </c>
      <c r="AD48" s="33">
        <f>0.19*1.05</f>
        <v>0.1995</v>
      </c>
      <c r="AE48" s="33">
        <f>0.18*1.2</f>
        <v>0.216</v>
      </c>
      <c r="AF48" s="33">
        <f>0.18*1.15</f>
        <v>0.207</v>
      </c>
      <c r="AG48" s="33">
        <v>0.18</v>
      </c>
      <c r="AH48" s="33">
        <f>0.18*1.05</f>
        <v>0.189</v>
      </c>
    </row>
    <row r="49" spans="1:34" s="9" customFormat="1" ht="11.25">
      <c r="A49" s="4" t="s">
        <v>135</v>
      </c>
      <c r="B49" s="5" t="s">
        <v>136</v>
      </c>
      <c r="C49" s="33">
        <v>0.42</v>
      </c>
      <c r="D49" s="33">
        <v>0.4</v>
      </c>
      <c r="E49" s="33">
        <v>0.35</v>
      </c>
      <c r="F49" s="37">
        <f>0.35*1.05</f>
        <v>0.3675</v>
      </c>
      <c r="G49" s="33">
        <v>0.31</v>
      </c>
      <c r="H49" s="33">
        <v>0.3</v>
      </c>
      <c r="I49" s="33">
        <v>0.26</v>
      </c>
      <c r="J49" s="33">
        <f>0.26*1.05</f>
        <v>0.273</v>
      </c>
      <c r="K49" s="33">
        <f>0.18*1.2</f>
        <v>0.216</v>
      </c>
      <c r="L49" s="33">
        <f>0.18*1.15</f>
        <v>0.207</v>
      </c>
      <c r="M49" s="33">
        <v>0.11</v>
      </c>
      <c r="N49" s="33">
        <f>0.18*1.05</f>
        <v>0.189</v>
      </c>
      <c r="O49" s="33">
        <f>0.21*1.2</f>
        <v>0.252</v>
      </c>
      <c r="P49" s="33">
        <f>0.21*1.15</f>
        <v>0.24149999999999996</v>
      </c>
      <c r="Q49" s="33">
        <v>0.21</v>
      </c>
      <c r="R49" s="33">
        <f>0.21*1.05</f>
        <v>0.2205</v>
      </c>
      <c r="S49" s="33">
        <f>0.13*1.2</f>
        <v>0.156</v>
      </c>
      <c r="T49" s="33">
        <f>0.13*1.15</f>
        <v>0.1495</v>
      </c>
      <c r="U49" s="33">
        <v>0.13</v>
      </c>
      <c r="V49" s="33">
        <f>0.13*1.05</f>
        <v>0.1365</v>
      </c>
      <c r="W49" s="33">
        <f>0.16*1.2</f>
        <v>0.192</v>
      </c>
      <c r="X49" s="33">
        <f>0.16*1.15</f>
        <v>0.184</v>
      </c>
      <c r="Y49" s="33">
        <v>0.16</v>
      </c>
      <c r="Z49" s="33">
        <f>0.16*1.05</f>
        <v>0.168</v>
      </c>
      <c r="AA49" s="33">
        <f>0.07*1.2</f>
        <v>0.084</v>
      </c>
      <c r="AB49" s="33">
        <f>0.07*1.15</f>
        <v>0.0805</v>
      </c>
      <c r="AC49" s="33">
        <v>0.07</v>
      </c>
      <c r="AD49" s="33">
        <f>0.07*1.05</f>
        <v>0.07350000000000001</v>
      </c>
      <c r="AE49" s="33">
        <f>0.11*1.2</f>
        <v>0.132</v>
      </c>
      <c r="AF49" s="33">
        <f>0.11*1.15</f>
        <v>0.1265</v>
      </c>
      <c r="AG49" s="33">
        <v>0.11</v>
      </c>
      <c r="AH49" s="33">
        <f>0.11*1.05</f>
        <v>0.1155</v>
      </c>
    </row>
    <row r="50" spans="1:35" s="9" customFormat="1" ht="11.25" customHeight="1">
      <c r="A50" s="106" t="s">
        <v>1</v>
      </c>
      <c r="B50" s="106" t="s">
        <v>2</v>
      </c>
      <c r="C50" s="111"/>
      <c r="D50" s="112"/>
      <c r="E50" s="113"/>
      <c r="F50" s="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2"/>
    </row>
    <row r="51" spans="1:35" s="9" customFormat="1" ht="22.5" customHeight="1">
      <c r="A51" s="126"/>
      <c r="B51" s="126"/>
      <c r="C51" s="117" t="s">
        <v>4</v>
      </c>
      <c r="D51" s="117" t="s">
        <v>118</v>
      </c>
      <c r="E51" s="106" t="s">
        <v>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2"/>
    </row>
    <row r="52" spans="1:35" s="9" customFormat="1" ht="31.5" customHeight="1">
      <c r="A52" s="126"/>
      <c r="B52" s="126"/>
      <c r="C52" s="118"/>
      <c r="D52" s="127"/>
      <c r="E52" s="115"/>
      <c r="F52" s="13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2"/>
    </row>
    <row r="53" spans="1:15" ht="31.5" customHeight="1">
      <c r="A53" s="26">
        <v>7</v>
      </c>
      <c r="B53" s="123" t="s">
        <v>71</v>
      </c>
      <c r="C53" s="128"/>
      <c r="D53" s="128"/>
      <c r="E53" s="129"/>
      <c r="F53" s="14"/>
      <c r="G53" s="15"/>
      <c r="H53" s="11"/>
      <c r="I53" s="11"/>
      <c r="J53" s="11"/>
      <c r="K53" s="11"/>
      <c r="L53" s="11"/>
      <c r="M53" s="11"/>
      <c r="N53" s="11"/>
      <c r="O53" s="11"/>
    </row>
    <row r="54" spans="1:15" s="8" customFormat="1" ht="12.75">
      <c r="A54" s="4" t="s">
        <v>72</v>
      </c>
      <c r="B54" s="5" t="s">
        <v>125</v>
      </c>
      <c r="C54" s="6">
        <f>0.25*1.2</f>
        <v>0.3</v>
      </c>
      <c r="D54" s="16">
        <f>0.25*1.15</f>
        <v>0.2875</v>
      </c>
      <c r="E54" s="6">
        <f>0.25*1.05</f>
        <v>0.2625</v>
      </c>
      <c r="F54" s="23"/>
      <c r="G54" s="23"/>
      <c r="H54" s="11"/>
      <c r="I54" s="11"/>
      <c r="J54" s="11"/>
      <c r="K54" s="11"/>
      <c r="L54" s="11"/>
      <c r="M54" s="11"/>
      <c r="N54" s="11"/>
      <c r="O54" s="11"/>
    </row>
    <row r="55" spans="1:15" s="8" customFormat="1" ht="12.75">
      <c r="A55" s="4" t="s">
        <v>73</v>
      </c>
      <c r="B55" s="5" t="s">
        <v>126</v>
      </c>
      <c r="C55" s="6">
        <f>0.33*1.2</f>
        <v>0.396</v>
      </c>
      <c r="D55" s="6">
        <f>0.33*1.15</f>
        <v>0.3795</v>
      </c>
      <c r="E55" s="6">
        <f>0.33*1.05</f>
        <v>0.34650000000000003</v>
      </c>
      <c r="H55" s="11"/>
      <c r="I55" s="11"/>
      <c r="J55" s="11"/>
      <c r="K55" s="11"/>
      <c r="L55" s="11"/>
      <c r="M55" s="11"/>
      <c r="N55" s="11"/>
      <c r="O55" s="11"/>
    </row>
    <row r="56" spans="1:15" s="8" customFormat="1" ht="12.75">
      <c r="A56" s="4" t="s">
        <v>74</v>
      </c>
      <c r="B56" s="5" t="s">
        <v>128</v>
      </c>
      <c r="C56" s="6">
        <f>0.38*1.2</f>
        <v>0.45599999999999996</v>
      </c>
      <c r="D56" s="6">
        <f>0.38*1.15</f>
        <v>0.43699999999999994</v>
      </c>
      <c r="E56" s="6">
        <f>0.38*1.05</f>
        <v>0.399</v>
      </c>
      <c r="H56" s="11"/>
      <c r="I56" s="11"/>
      <c r="J56" s="11"/>
      <c r="K56" s="11"/>
      <c r="L56" s="11"/>
      <c r="M56" s="11"/>
      <c r="N56" s="11"/>
      <c r="O56" s="11"/>
    </row>
    <row r="57" spans="1:15" s="8" customFormat="1" ht="12.75">
      <c r="A57" s="4" t="s">
        <v>75</v>
      </c>
      <c r="B57" s="5" t="s">
        <v>62</v>
      </c>
      <c r="C57" s="6">
        <f>0.43*1.2</f>
        <v>0.516</v>
      </c>
      <c r="D57" s="6">
        <f>0.43*1.15</f>
        <v>0.49449999999999994</v>
      </c>
      <c r="E57" s="6">
        <f>0.43*1.05</f>
        <v>0.4515</v>
      </c>
      <c r="H57" s="11"/>
      <c r="I57" s="11"/>
      <c r="J57" s="11"/>
      <c r="K57" s="11"/>
      <c r="L57" s="11"/>
      <c r="M57" s="11"/>
      <c r="N57" s="11"/>
      <c r="O57" s="11"/>
    </row>
    <row r="58" spans="1:5" s="8" customFormat="1" ht="12.75">
      <c r="A58" s="4" t="s">
        <v>76</v>
      </c>
      <c r="B58" s="5" t="s">
        <v>129</v>
      </c>
      <c r="C58" s="6">
        <f>0.5*1.2</f>
        <v>0.6</v>
      </c>
      <c r="D58" s="6">
        <f>0.5*1.15</f>
        <v>0.575</v>
      </c>
      <c r="E58" s="6">
        <f>0.5*1.05</f>
        <v>0.525</v>
      </c>
    </row>
    <row r="59" spans="1:5" s="8" customFormat="1" ht="22.5">
      <c r="A59" s="4" t="s">
        <v>77</v>
      </c>
      <c r="B59" s="5" t="s">
        <v>130</v>
      </c>
      <c r="C59" s="6">
        <f>0.2*1.2</f>
        <v>0.24</v>
      </c>
      <c r="D59" s="6">
        <f>0.2*1.15</f>
        <v>0.22999999999999998</v>
      </c>
      <c r="E59" s="6">
        <f>0.2*1.05</f>
        <v>0.21000000000000002</v>
      </c>
    </row>
    <row r="60" spans="1:5" s="8" customFormat="1" ht="12.75">
      <c r="A60" s="4" t="s">
        <v>78</v>
      </c>
      <c r="B60" s="5" t="s">
        <v>66</v>
      </c>
      <c r="C60" s="6">
        <v>0.6</v>
      </c>
      <c r="D60" s="6">
        <v>0.58</v>
      </c>
      <c r="E60" s="6">
        <f>0.5*1.05</f>
        <v>0.525</v>
      </c>
    </row>
    <row r="61" spans="1:5" s="8" customFormat="1" ht="12.75">
      <c r="A61" s="4" t="s">
        <v>79</v>
      </c>
      <c r="B61" s="5" t="s">
        <v>131</v>
      </c>
      <c r="C61" s="6">
        <f>0.1*1.2</f>
        <v>0.12</v>
      </c>
      <c r="D61" s="6">
        <f>0.1*1.15</f>
        <v>0.11499999999999999</v>
      </c>
      <c r="E61" s="6">
        <f>0.1*1.05</f>
        <v>0.10500000000000001</v>
      </c>
    </row>
    <row r="62" spans="1:5" s="8" customFormat="1" ht="12.75">
      <c r="A62" s="4" t="s">
        <v>80</v>
      </c>
      <c r="B62" s="5" t="s">
        <v>132</v>
      </c>
      <c r="C62" s="6">
        <f>0.2*1.2</f>
        <v>0.24</v>
      </c>
      <c r="D62" s="6">
        <f>0.22*1.15</f>
        <v>0.253</v>
      </c>
      <c r="E62" s="6">
        <f>0.22*1.05</f>
        <v>0.231</v>
      </c>
    </row>
    <row r="63" spans="1:5" s="8" customFormat="1" ht="22.5">
      <c r="A63" s="4" t="s">
        <v>81</v>
      </c>
      <c r="B63" s="5" t="s">
        <v>70</v>
      </c>
      <c r="C63" s="6">
        <f>0.28*1.2</f>
        <v>0.336</v>
      </c>
      <c r="D63" s="6">
        <f>0.28*1.15</f>
        <v>0.322</v>
      </c>
      <c r="E63" s="6">
        <f>0.28*1.05</f>
        <v>0.29400000000000004</v>
      </c>
    </row>
    <row r="64" spans="1:5" s="8" customFormat="1" ht="12.75">
      <c r="A64" s="4" t="s">
        <v>82</v>
      </c>
      <c r="B64" s="5" t="s">
        <v>134</v>
      </c>
      <c r="C64" s="6">
        <v>0.6</v>
      </c>
      <c r="D64" s="6">
        <v>0.58</v>
      </c>
      <c r="E64" s="6">
        <f>0.5*1.05</f>
        <v>0.525</v>
      </c>
    </row>
    <row r="65" spans="1:5" s="8" customFormat="1" ht="12.75">
      <c r="A65" s="4" t="s">
        <v>137</v>
      </c>
      <c r="B65" s="5" t="s">
        <v>136</v>
      </c>
      <c r="C65" s="6">
        <f>0.4*1.2</f>
        <v>0.48</v>
      </c>
      <c r="D65" s="6">
        <f>0.4*1.15</f>
        <v>0.45999999999999996</v>
      </c>
      <c r="E65" s="6">
        <f>0.4*1.05</f>
        <v>0.42000000000000004</v>
      </c>
    </row>
    <row r="66" spans="1:5" s="8" customFormat="1" ht="67.5">
      <c r="A66" s="4">
        <v>8</v>
      </c>
      <c r="B66" s="5" t="s">
        <v>138</v>
      </c>
      <c r="C66" s="6">
        <f>0.66*1.2</f>
        <v>0.792</v>
      </c>
      <c r="D66" s="6">
        <f>0.66*1.15</f>
        <v>0.759</v>
      </c>
      <c r="E66" s="6">
        <f>0.66*1.05</f>
        <v>0.6930000000000001</v>
      </c>
    </row>
    <row r="67" spans="1:34" s="9" customFormat="1" ht="12.75">
      <c r="A67" s="115" t="s">
        <v>48</v>
      </c>
      <c r="B67" s="115" t="s">
        <v>2</v>
      </c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1"/>
    </row>
    <row r="68" spans="1:34" s="9" customFormat="1" ht="24" customHeight="1">
      <c r="A68" s="115"/>
      <c r="B68" s="115"/>
      <c r="C68" s="117" t="s">
        <v>4</v>
      </c>
      <c r="D68" s="108" t="s">
        <v>118</v>
      </c>
      <c r="E68" s="108" t="s">
        <v>49</v>
      </c>
      <c r="F68" s="108" t="s">
        <v>5</v>
      </c>
      <c r="G68" s="117" t="s">
        <v>4</v>
      </c>
      <c r="H68" s="108" t="s">
        <v>122</v>
      </c>
      <c r="I68" s="108" t="s">
        <v>49</v>
      </c>
      <c r="J68" s="108" t="s">
        <v>5</v>
      </c>
      <c r="K68" s="117" t="s">
        <v>4</v>
      </c>
      <c r="L68" s="108" t="s">
        <v>122</v>
      </c>
      <c r="M68" s="108" t="s">
        <v>49</v>
      </c>
      <c r="N68" s="108" t="s">
        <v>5</v>
      </c>
      <c r="O68" s="117" t="s">
        <v>4</v>
      </c>
      <c r="P68" s="108" t="s">
        <v>122</v>
      </c>
      <c r="Q68" s="108" t="s">
        <v>49</v>
      </c>
      <c r="R68" s="108" t="s">
        <v>5</v>
      </c>
      <c r="S68" s="117" t="s">
        <v>4</v>
      </c>
      <c r="T68" s="108" t="s">
        <v>122</v>
      </c>
      <c r="U68" s="108" t="s">
        <v>49</v>
      </c>
      <c r="V68" s="108" t="s">
        <v>5</v>
      </c>
      <c r="W68" s="117" t="s">
        <v>4</v>
      </c>
      <c r="X68" s="108" t="s">
        <v>122</v>
      </c>
      <c r="Y68" s="108" t="s">
        <v>49</v>
      </c>
      <c r="Z68" s="108" t="s">
        <v>5</v>
      </c>
      <c r="AA68" s="117" t="s">
        <v>4</v>
      </c>
      <c r="AB68" s="108" t="s">
        <v>122</v>
      </c>
      <c r="AC68" s="108" t="s">
        <v>49</v>
      </c>
      <c r="AD68" s="108" t="s">
        <v>5</v>
      </c>
      <c r="AE68" s="117" t="s">
        <v>4</v>
      </c>
      <c r="AF68" s="108" t="s">
        <v>122</v>
      </c>
      <c r="AG68" s="108" t="s">
        <v>49</v>
      </c>
      <c r="AH68" s="108" t="s">
        <v>5</v>
      </c>
    </row>
    <row r="69" spans="1:34" s="9" customFormat="1" ht="30" customHeight="1">
      <c r="A69" s="115"/>
      <c r="B69" s="115"/>
      <c r="C69" s="118"/>
      <c r="D69" s="119"/>
      <c r="E69" s="110"/>
      <c r="F69" s="119"/>
      <c r="G69" s="118"/>
      <c r="H69" s="119"/>
      <c r="I69" s="110"/>
      <c r="J69" s="119"/>
      <c r="K69" s="118"/>
      <c r="L69" s="119"/>
      <c r="M69" s="110"/>
      <c r="N69" s="119"/>
      <c r="O69" s="118"/>
      <c r="P69" s="119"/>
      <c r="Q69" s="110"/>
      <c r="R69" s="119"/>
      <c r="S69" s="118"/>
      <c r="T69" s="119"/>
      <c r="U69" s="110"/>
      <c r="V69" s="119"/>
      <c r="W69" s="118"/>
      <c r="X69" s="119"/>
      <c r="Y69" s="110"/>
      <c r="Z69" s="119"/>
      <c r="AA69" s="118"/>
      <c r="AB69" s="119"/>
      <c r="AC69" s="110"/>
      <c r="AD69" s="119"/>
      <c r="AE69" s="118"/>
      <c r="AF69" s="119"/>
      <c r="AG69" s="110"/>
      <c r="AH69" s="119"/>
    </row>
    <row r="70" spans="1:34" s="9" customFormat="1" ht="11.25" customHeight="1">
      <c r="A70" s="115"/>
      <c r="B70" s="115"/>
      <c r="C70" s="112" t="s">
        <v>123</v>
      </c>
      <c r="D70" s="112"/>
      <c r="E70" s="112"/>
      <c r="F70" s="113"/>
      <c r="G70" s="106" t="s">
        <v>124</v>
      </c>
      <c r="H70" s="106"/>
      <c r="I70" s="106"/>
      <c r="J70" s="106"/>
      <c r="K70" s="106" t="s">
        <v>50</v>
      </c>
      <c r="L70" s="106"/>
      <c r="M70" s="106"/>
      <c r="N70" s="106"/>
      <c r="O70" s="106" t="s">
        <v>51</v>
      </c>
      <c r="P70" s="106"/>
      <c r="Q70" s="106"/>
      <c r="R70" s="106"/>
      <c r="S70" s="106" t="s">
        <v>52</v>
      </c>
      <c r="T70" s="106"/>
      <c r="U70" s="106"/>
      <c r="V70" s="106"/>
      <c r="W70" s="106" t="s">
        <v>53</v>
      </c>
      <c r="X70" s="106"/>
      <c r="Y70" s="106"/>
      <c r="Z70" s="106"/>
      <c r="AA70" s="106" t="s">
        <v>54</v>
      </c>
      <c r="AB70" s="106"/>
      <c r="AC70" s="106"/>
      <c r="AD70" s="106"/>
      <c r="AE70" s="106" t="s">
        <v>55</v>
      </c>
      <c r="AF70" s="106"/>
      <c r="AG70" s="106"/>
      <c r="AH70" s="106"/>
    </row>
    <row r="71" spans="1:34" s="17" customFormat="1" ht="12.75" customHeight="1">
      <c r="A71" s="26">
        <v>9</v>
      </c>
      <c r="B71" s="123" t="s">
        <v>83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5"/>
    </row>
    <row r="72" spans="1:34" s="17" customFormat="1" ht="11.25">
      <c r="A72" s="26" t="s">
        <v>84</v>
      </c>
      <c r="B72" s="132" t="s">
        <v>139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4"/>
    </row>
    <row r="73" spans="1:34" s="18" customFormat="1" ht="11.25">
      <c r="A73" s="4" t="s">
        <v>140</v>
      </c>
      <c r="B73" s="5" t="s">
        <v>85</v>
      </c>
      <c r="C73" s="33">
        <v>0.67</v>
      </c>
      <c r="D73" s="33">
        <v>0.67</v>
      </c>
      <c r="E73" s="33">
        <v>0.56</v>
      </c>
      <c r="F73" s="33">
        <v>0.67</v>
      </c>
      <c r="G73" s="33">
        <v>0.52</v>
      </c>
      <c r="H73" s="33">
        <v>0.52</v>
      </c>
      <c r="I73" s="33">
        <v>0.43</v>
      </c>
      <c r="J73" s="33">
        <v>0.52</v>
      </c>
      <c r="K73" s="33">
        <v>0.36</v>
      </c>
      <c r="L73" s="33">
        <v>0.36</v>
      </c>
      <c r="M73" s="33">
        <v>0.3</v>
      </c>
      <c r="N73" s="33">
        <v>0.36</v>
      </c>
      <c r="O73" s="33">
        <v>0.37</v>
      </c>
      <c r="P73" s="33">
        <v>0.37</v>
      </c>
      <c r="Q73" s="33">
        <v>0.31</v>
      </c>
      <c r="R73" s="33">
        <v>0.37</v>
      </c>
      <c r="S73" s="33">
        <v>0.28</v>
      </c>
      <c r="T73" s="33">
        <v>0.28</v>
      </c>
      <c r="U73" s="33">
        <v>0.23</v>
      </c>
      <c r="V73" s="33">
        <v>0.28</v>
      </c>
      <c r="W73" s="33">
        <v>0.29</v>
      </c>
      <c r="X73" s="33">
        <v>0.29</v>
      </c>
      <c r="Y73" s="33">
        <v>0.24</v>
      </c>
      <c r="Z73" s="33">
        <v>0.29</v>
      </c>
      <c r="AA73" s="33">
        <v>0.26</v>
      </c>
      <c r="AB73" s="33">
        <v>0.26</v>
      </c>
      <c r="AC73" s="33">
        <v>0.22</v>
      </c>
      <c r="AD73" s="33">
        <v>0.26</v>
      </c>
      <c r="AE73" s="33">
        <v>0.2</v>
      </c>
      <c r="AF73" s="33">
        <v>0.2</v>
      </c>
      <c r="AG73" s="33">
        <v>0.17</v>
      </c>
      <c r="AH73" s="33">
        <v>0.2</v>
      </c>
    </row>
    <row r="74" spans="1:34" s="18" customFormat="1" ht="11.25">
      <c r="A74" s="4" t="s">
        <v>141</v>
      </c>
      <c r="B74" s="5" t="s">
        <v>86</v>
      </c>
      <c r="C74" s="33">
        <v>0.34</v>
      </c>
      <c r="D74" s="33">
        <v>0.34</v>
      </c>
      <c r="E74" s="33">
        <v>0.28</v>
      </c>
      <c r="F74" s="33">
        <v>0.34</v>
      </c>
      <c r="G74" s="33">
        <v>0.26</v>
      </c>
      <c r="H74" s="33">
        <v>0.26</v>
      </c>
      <c r="I74" s="33">
        <v>0.22</v>
      </c>
      <c r="J74" s="33">
        <v>0.26</v>
      </c>
      <c r="K74" s="33">
        <v>0.18</v>
      </c>
      <c r="L74" s="33">
        <v>0.18</v>
      </c>
      <c r="M74" s="33">
        <v>0.15</v>
      </c>
      <c r="N74" s="33">
        <v>0.18</v>
      </c>
      <c r="O74" s="33">
        <v>0.19</v>
      </c>
      <c r="P74" s="33">
        <v>0.19</v>
      </c>
      <c r="Q74" s="33">
        <v>0.16</v>
      </c>
      <c r="R74" s="33">
        <v>0.19</v>
      </c>
      <c r="S74" s="33">
        <v>0.13</v>
      </c>
      <c r="T74" s="33">
        <v>0.13</v>
      </c>
      <c r="U74" s="33">
        <v>0.11</v>
      </c>
      <c r="V74" s="33">
        <v>0.13</v>
      </c>
      <c r="W74" s="33">
        <v>0.14</v>
      </c>
      <c r="X74" s="33">
        <v>0.14</v>
      </c>
      <c r="Y74" s="33">
        <v>0.12</v>
      </c>
      <c r="Z74" s="33">
        <v>0.14</v>
      </c>
      <c r="AA74" s="33">
        <v>0.13</v>
      </c>
      <c r="AB74" s="33">
        <v>0.13</v>
      </c>
      <c r="AC74" s="33">
        <v>0.11</v>
      </c>
      <c r="AD74" s="33">
        <v>0.13</v>
      </c>
      <c r="AE74" s="33">
        <v>0.1</v>
      </c>
      <c r="AF74" s="33">
        <v>0.1</v>
      </c>
      <c r="AG74" s="33">
        <v>0.08</v>
      </c>
      <c r="AH74" s="33">
        <v>0.1</v>
      </c>
    </row>
    <row r="75" spans="1:34" ht="12.75" customHeight="1">
      <c r="A75" s="106" t="s">
        <v>1</v>
      </c>
      <c r="B75" s="106" t="s">
        <v>2</v>
      </c>
      <c r="C75" s="112"/>
      <c r="D75" s="112"/>
      <c r="E75" s="135"/>
      <c r="F75" s="13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24" customHeight="1">
      <c r="A76" s="126"/>
      <c r="B76" s="126"/>
      <c r="C76" s="117" t="s">
        <v>4</v>
      </c>
      <c r="D76" s="117" t="s">
        <v>118</v>
      </c>
      <c r="E76" s="106" t="s">
        <v>5</v>
      </c>
      <c r="F76" s="19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30" customHeight="1">
      <c r="A77" s="126"/>
      <c r="B77" s="126"/>
      <c r="C77" s="118"/>
      <c r="D77" s="127"/>
      <c r="E77" s="115"/>
      <c r="F77" s="15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6" ht="12.75" customHeight="1">
      <c r="A78" s="26">
        <v>10</v>
      </c>
      <c r="B78" s="31" t="s">
        <v>87</v>
      </c>
      <c r="C78" s="32"/>
      <c r="D78" s="32"/>
      <c r="E78" s="38"/>
      <c r="F78" s="14"/>
    </row>
    <row r="79" spans="1:6" ht="12.75">
      <c r="A79" s="4" t="s">
        <v>88</v>
      </c>
      <c r="B79" s="5" t="s">
        <v>85</v>
      </c>
      <c r="C79" s="6">
        <v>0.32</v>
      </c>
      <c r="D79" s="16">
        <v>0.32</v>
      </c>
      <c r="E79" s="6">
        <v>0.32</v>
      </c>
      <c r="F79" s="15"/>
    </row>
    <row r="80" spans="1:5" ht="12.75">
      <c r="A80" s="20" t="s">
        <v>89</v>
      </c>
      <c r="B80" s="5" t="s">
        <v>86</v>
      </c>
      <c r="C80" s="6">
        <v>0.24</v>
      </c>
      <c r="D80" s="16">
        <v>0.24</v>
      </c>
      <c r="E80" s="6">
        <v>0.24</v>
      </c>
    </row>
    <row r="81" spans="1:5" ht="45">
      <c r="A81" s="26">
        <v>11</v>
      </c>
      <c r="B81" s="28" t="s">
        <v>142</v>
      </c>
      <c r="C81" s="29">
        <v>0.1</v>
      </c>
      <c r="D81" s="29">
        <v>0.1</v>
      </c>
      <c r="E81" s="29">
        <v>0.1</v>
      </c>
    </row>
    <row r="82" spans="1:5" ht="22.5">
      <c r="A82" s="4">
        <v>12</v>
      </c>
      <c r="B82" s="5" t="s">
        <v>143</v>
      </c>
      <c r="C82" s="6">
        <v>0.1</v>
      </c>
      <c r="D82" s="6">
        <v>0.1</v>
      </c>
      <c r="E82" s="6">
        <v>0.1</v>
      </c>
    </row>
    <row r="83" spans="1:5" ht="22.5">
      <c r="A83" s="4">
        <v>13</v>
      </c>
      <c r="B83" s="5" t="s">
        <v>144</v>
      </c>
      <c r="C83" s="6">
        <v>0.1</v>
      </c>
      <c r="D83" s="6">
        <v>0.1</v>
      </c>
      <c r="E83" s="6">
        <v>0.1</v>
      </c>
    </row>
    <row r="84" spans="1:5" ht="45">
      <c r="A84" s="4">
        <v>14</v>
      </c>
      <c r="B84" s="5" t="s">
        <v>145</v>
      </c>
      <c r="C84" s="6">
        <v>0.1</v>
      </c>
      <c r="D84" s="6">
        <v>0.1</v>
      </c>
      <c r="E84" s="6">
        <v>0.1</v>
      </c>
    </row>
    <row r="85" spans="1:5" ht="22.5">
      <c r="A85" s="26">
        <v>15</v>
      </c>
      <c r="B85" s="28" t="s">
        <v>90</v>
      </c>
      <c r="C85" s="29" t="s">
        <v>146</v>
      </c>
      <c r="D85" s="29" t="s">
        <v>146</v>
      </c>
      <c r="E85" s="29" t="s">
        <v>146</v>
      </c>
    </row>
    <row r="86" spans="1:5" ht="12.75">
      <c r="A86" s="39"/>
      <c r="B86" s="5" t="s">
        <v>147</v>
      </c>
      <c r="C86" s="6">
        <v>0.1</v>
      </c>
      <c r="D86" s="6">
        <v>0.1</v>
      </c>
      <c r="E86" s="6">
        <v>0.1</v>
      </c>
    </row>
    <row r="87" spans="1:5" ht="12.75">
      <c r="A87" s="40"/>
      <c r="B87" s="5" t="s">
        <v>91</v>
      </c>
      <c r="C87" s="6">
        <v>0.2</v>
      </c>
      <c r="D87" s="6">
        <v>0.2</v>
      </c>
      <c r="E87" s="6">
        <v>0.2</v>
      </c>
    </row>
    <row r="88" spans="1:5" ht="22.5">
      <c r="A88" s="40"/>
      <c r="B88" s="5" t="s">
        <v>92</v>
      </c>
      <c r="C88" s="6">
        <v>0.3</v>
      </c>
      <c r="D88" s="6">
        <v>0.3</v>
      </c>
      <c r="E88" s="6">
        <v>0.3</v>
      </c>
    </row>
    <row r="89" spans="1:5" ht="45">
      <c r="A89" s="26">
        <v>16</v>
      </c>
      <c r="B89" s="28" t="s">
        <v>148</v>
      </c>
      <c r="C89" s="29">
        <v>0.08</v>
      </c>
      <c r="D89" s="29">
        <v>0.07</v>
      </c>
      <c r="E89" s="29">
        <v>0.06</v>
      </c>
    </row>
    <row r="91" ht="12.75">
      <c r="H91" t="s">
        <v>114</v>
      </c>
    </row>
    <row r="100" ht="12.75">
      <c r="G100" t="s">
        <v>116</v>
      </c>
    </row>
  </sheetData>
  <sheetProtection/>
  <mergeCells count="117">
    <mergeCell ref="B71:AH71"/>
    <mergeCell ref="B72:AH72"/>
    <mergeCell ref="A75:A77"/>
    <mergeCell ref="B75:B77"/>
    <mergeCell ref="C75:F75"/>
    <mergeCell ref="C76:C77"/>
    <mergeCell ref="D76:D77"/>
    <mergeCell ref="E76:E77"/>
    <mergeCell ref="AG68:AG69"/>
    <mergeCell ref="AH68:AH69"/>
    <mergeCell ref="C70:F70"/>
    <mergeCell ref="G70:J70"/>
    <mergeCell ref="K70:N70"/>
    <mergeCell ref="O70:R70"/>
    <mergeCell ref="S70:V70"/>
    <mergeCell ref="W70:Z70"/>
    <mergeCell ref="AA70:AD70"/>
    <mergeCell ref="AE70:AH70"/>
    <mergeCell ref="Q68:Q69"/>
    <mergeCell ref="R68:R69"/>
    <mergeCell ref="Y68:Y69"/>
    <mergeCell ref="Z68:Z69"/>
    <mergeCell ref="S68:S69"/>
    <mergeCell ref="T68:T69"/>
    <mergeCell ref="AE68:AE69"/>
    <mergeCell ref="AF68:AF69"/>
    <mergeCell ref="U68:U69"/>
    <mergeCell ref="V68:V69"/>
    <mergeCell ref="W68:W69"/>
    <mergeCell ref="X68:X69"/>
    <mergeCell ref="AC68:AC69"/>
    <mergeCell ref="AD68:AD69"/>
    <mergeCell ref="AA68:AA69"/>
    <mergeCell ref="AB68:AB69"/>
    <mergeCell ref="I68:I69"/>
    <mergeCell ref="J68:J69"/>
    <mergeCell ref="K68:K69"/>
    <mergeCell ref="L68:L69"/>
    <mergeCell ref="M68:M69"/>
    <mergeCell ref="N68:N69"/>
    <mergeCell ref="O68:O69"/>
    <mergeCell ref="P68:P69"/>
    <mergeCell ref="B53:E53"/>
    <mergeCell ref="A67:A70"/>
    <mergeCell ref="B67:B70"/>
    <mergeCell ref="C67:AH67"/>
    <mergeCell ref="C68:C69"/>
    <mergeCell ref="D68:D69"/>
    <mergeCell ref="E68:E69"/>
    <mergeCell ref="F68:F69"/>
    <mergeCell ref="G68:G69"/>
    <mergeCell ref="H68:H69"/>
    <mergeCell ref="AG33:AG34"/>
    <mergeCell ref="B36:AH36"/>
    <mergeCell ref="A50:A52"/>
    <mergeCell ref="B50:B52"/>
    <mergeCell ref="C50:E50"/>
    <mergeCell ref="C51:C52"/>
    <mergeCell ref="D51:D52"/>
    <mergeCell ref="E51:E52"/>
    <mergeCell ref="C35:F35"/>
    <mergeCell ref="G35:J35"/>
    <mergeCell ref="S35:V35"/>
    <mergeCell ref="AA35:AD35"/>
    <mergeCell ref="Q33:Q34"/>
    <mergeCell ref="AE35:AH35"/>
    <mergeCell ref="AH33:AH34"/>
    <mergeCell ref="W33:W34"/>
    <mergeCell ref="X33:X34"/>
    <mergeCell ref="Y33:Y34"/>
    <mergeCell ref="AE33:AE34"/>
    <mergeCell ref="AF33:AF34"/>
    <mergeCell ref="M33:M34"/>
    <mergeCell ref="AD33:AD34"/>
    <mergeCell ref="N33:N34"/>
    <mergeCell ref="W35:Z35"/>
    <mergeCell ref="AC33:AC34"/>
    <mergeCell ref="AB33:AB34"/>
    <mergeCell ref="O33:O34"/>
    <mergeCell ref="R33:R34"/>
    <mergeCell ref="K35:N35"/>
    <mergeCell ref="O35:R35"/>
    <mergeCell ref="H33:H34"/>
    <mergeCell ref="C7:E7"/>
    <mergeCell ref="C9:E9"/>
    <mergeCell ref="C13:E13"/>
    <mergeCell ref="C18:E18"/>
    <mergeCell ref="C24:E24"/>
    <mergeCell ref="E33:E34"/>
    <mergeCell ref="F33:F34"/>
    <mergeCell ref="G33:G34"/>
    <mergeCell ref="AA33:AA34"/>
    <mergeCell ref="S33:S34"/>
    <mergeCell ref="T33:T34"/>
    <mergeCell ref="U33:U34"/>
    <mergeCell ref="V33:V34"/>
    <mergeCell ref="Z33:Z34"/>
    <mergeCell ref="A32:A35"/>
    <mergeCell ref="B32:B35"/>
    <mergeCell ref="C32:AH32"/>
    <mergeCell ref="C33:C34"/>
    <mergeCell ref="D33:D34"/>
    <mergeCell ref="I33:I34"/>
    <mergeCell ref="J33:J34"/>
    <mergeCell ref="K33:K34"/>
    <mergeCell ref="L33:L34"/>
    <mergeCell ref="P33:P34"/>
    <mergeCell ref="C1:F1"/>
    <mergeCell ref="A2:F2"/>
    <mergeCell ref="A3:F3"/>
    <mergeCell ref="A4:A6"/>
    <mergeCell ref="B4:B6"/>
    <mergeCell ref="C4:E4"/>
    <mergeCell ref="C5:C6"/>
    <mergeCell ref="D5:D6"/>
    <mergeCell ref="E5:E6"/>
    <mergeCell ref="F5:F6"/>
  </mergeCells>
  <printOptions/>
  <pageMargins left="0.19" right="0.16" top="0.28" bottom="0.28" header="0.18" footer="0.21"/>
  <pageSetup horizontalDpi="600" verticalDpi="600" orientation="landscape" paperSize="9" scale="55" r:id="rId2"/>
  <rowBreaks count="1" manualBreakCount="1">
    <brk id="49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AL105"/>
  <sheetViews>
    <sheetView tabSelected="1" view="pageBreakPreview" zoomScaleSheetLayoutView="100" zoomScalePageLayoutView="0" workbookViewId="0" topLeftCell="A49">
      <selection activeCell="L20" sqref="L20"/>
    </sheetView>
  </sheetViews>
  <sheetFormatPr defaultColWidth="9.00390625" defaultRowHeight="12.75"/>
  <cols>
    <col min="1" max="1" width="5.875" style="0" customWidth="1"/>
    <col min="2" max="2" width="47.375" style="0" customWidth="1"/>
    <col min="3" max="3" width="6.125" style="41" customWidth="1"/>
    <col min="4" max="4" width="9.75390625" style="0" customWidth="1"/>
    <col min="5" max="5" width="9.00390625" style="0" customWidth="1"/>
    <col min="6" max="6" width="7.375" style="0" customWidth="1"/>
    <col min="7" max="7" width="7.125" style="0" customWidth="1"/>
    <col min="8" max="8" width="9.375" style="0" customWidth="1"/>
    <col min="9" max="9" width="6.875" style="0" customWidth="1"/>
    <col min="10" max="10" width="7.375" style="0" customWidth="1"/>
    <col min="11" max="11" width="8.125" style="0" customWidth="1"/>
    <col min="12" max="12" width="7.375" style="0" customWidth="1"/>
    <col min="13" max="13" width="7.25390625" style="0" customWidth="1"/>
    <col min="14" max="14" width="5.875" style="0" customWidth="1"/>
    <col min="15" max="15" width="6.875" style="0" customWidth="1"/>
    <col min="16" max="16" width="9.875" style="0" customWidth="1"/>
    <col min="17" max="17" width="6.75390625" style="0" customWidth="1"/>
    <col min="18" max="18" width="5.875" style="0" customWidth="1"/>
    <col min="19" max="19" width="8.00390625" style="0" customWidth="1"/>
    <col min="20" max="20" width="9.375" style="0" customWidth="1"/>
    <col min="21" max="21" width="6.75390625" style="0" customWidth="1"/>
    <col min="22" max="22" width="6.00390625" style="0" customWidth="1"/>
    <col min="23" max="23" width="7.75390625" style="0" customWidth="1"/>
    <col min="24" max="24" width="10.00390625" style="0" customWidth="1"/>
    <col min="25" max="25" width="6.75390625" style="0" customWidth="1"/>
    <col min="26" max="26" width="5.75390625" style="0" customWidth="1"/>
    <col min="27" max="27" width="7.625" style="0" customWidth="1"/>
    <col min="28" max="28" width="9.25390625" style="0" customWidth="1"/>
    <col min="29" max="29" width="6.75390625" style="0" customWidth="1"/>
    <col min="30" max="30" width="6.625" style="0" customWidth="1"/>
  </cols>
  <sheetData>
    <row r="3" spans="13:16" ht="12.75">
      <c r="M3" s="137"/>
      <c r="N3" s="137"/>
      <c r="O3" s="137"/>
      <c r="P3" s="137"/>
    </row>
    <row r="11" spans="1:6" s="41" customFormat="1" ht="9" customHeight="1">
      <c r="A11" s="55"/>
      <c r="B11" s="55"/>
      <c r="C11" s="152"/>
      <c r="D11" s="152"/>
      <c r="E11" s="152"/>
      <c r="F11" s="152"/>
    </row>
    <row r="12" spans="1:6" s="41" customFormat="1" ht="12.75">
      <c r="A12" s="153" t="s">
        <v>0</v>
      </c>
      <c r="B12" s="153"/>
      <c r="C12" s="153"/>
      <c r="D12" s="154"/>
      <c r="E12" s="154"/>
      <c r="F12" s="154"/>
    </row>
    <row r="13" spans="1:6" s="41" customFormat="1" ht="12.75">
      <c r="A13" s="155" t="s">
        <v>153</v>
      </c>
      <c r="B13" s="155"/>
      <c r="C13" s="156"/>
      <c r="D13" s="157"/>
      <c r="E13" s="157"/>
      <c r="F13" s="157"/>
    </row>
    <row r="14" spans="1:6" s="48" customFormat="1" ht="13.5" customHeight="1">
      <c r="A14" s="158" t="s">
        <v>1</v>
      </c>
      <c r="B14" s="160" t="s">
        <v>2</v>
      </c>
      <c r="C14" s="158" t="s">
        <v>3</v>
      </c>
      <c r="D14" s="158"/>
      <c r="E14" s="158"/>
      <c r="F14" s="158"/>
    </row>
    <row r="15" spans="1:6" s="48" customFormat="1" ht="21.75" customHeight="1">
      <c r="A15" s="159"/>
      <c r="B15" s="151"/>
      <c r="C15" s="160" t="s">
        <v>4</v>
      </c>
      <c r="D15" s="160" t="s">
        <v>118</v>
      </c>
      <c r="E15" s="158" t="s">
        <v>5</v>
      </c>
      <c r="F15" s="142" t="s">
        <v>113</v>
      </c>
    </row>
    <row r="16" spans="1:6" s="48" customFormat="1" ht="38.25" customHeight="1">
      <c r="A16" s="159"/>
      <c r="B16" s="161"/>
      <c r="C16" s="161"/>
      <c r="D16" s="161"/>
      <c r="E16" s="158"/>
      <c r="F16" s="143"/>
    </row>
    <row r="17" spans="1:6" s="48" customFormat="1" ht="12.75">
      <c r="A17" s="57">
        <v>1</v>
      </c>
      <c r="B17" s="57" t="s">
        <v>6</v>
      </c>
      <c r="C17" s="147"/>
      <c r="D17" s="148"/>
      <c r="E17" s="149"/>
      <c r="F17" s="56"/>
    </row>
    <row r="18" spans="1:6" s="48" customFormat="1" ht="12.75">
      <c r="A18" s="58" t="s">
        <v>7</v>
      </c>
      <c r="B18" s="59" t="s">
        <v>183</v>
      </c>
      <c r="C18" s="42">
        <f>(0.32*2)*0.75</f>
        <v>0.48</v>
      </c>
      <c r="D18" s="42">
        <f>0.31*1.7*0.75</f>
        <v>0.39525</v>
      </c>
      <c r="E18" s="42">
        <f>0.3*1.5*0.75</f>
        <v>0.33749999999999997</v>
      </c>
      <c r="F18" s="42"/>
    </row>
    <row r="19" spans="1:6" s="48" customFormat="1" ht="69" customHeight="1">
      <c r="A19" s="58" t="s">
        <v>9</v>
      </c>
      <c r="B19" s="59" t="s">
        <v>176</v>
      </c>
      <c r="C19" s="42">
        <f>0.13*2*0.75</f>
        <v>0.195</v>
      </c>
      <c r="D19" s="42">
        <f>0.12*1.7*0.75</f>
        <v>0.153</v>
      </c>
      <c r="E19" s="42">
        <f>0.12*1.5*0.75</f>
        <v>0.135</v>
      </c>
      <c r="F19" s="42"/>
    </row>
    <row r="20" spans="1:6" s="48" customFormat="1" ht="12.75">
      <c r="A20" s="58" t="s">
        <v>17</v>
      </c>
      <c r="B20" s="59" t="s">
        <v>20</v>
      </c>
      <c r="C20" s="42">
        <f>0.48*2*0.755</f>
        <v>0.7248</v>
      </c>
      <c r="D20" s="42">
        <f>0.48*1.7*0.75</f>
        <v>0.612</v>
      </c>
      <c r="E20" s="42">
        <f>0.47*1.5*0.75</f>
        <v>0.5287499999999999</v>
      </c>
      <c r="F20" s="42"/>
    </row>
    <row r="21" spans="1:6" s="48" customFormat="1" ht="12.75">
      <c r="A21" s="58" t="s">
        <v>23</v>
      </c>
      <c r="B21" s="59" t="s">
        <v>22</v>
      </c>
      <c r="C21" s="42">
        <f>0.5*2*0.75</f>
        <v>0.75</v>
      </c>
      <c r="D21" s="42">
        <f>0.49*1.7*0.75</f>
        <v>0.6247499999999999</v>
      </c>
      <c r="E21" s="42">
        <f>0.48*1.5*0.75</f>
        <v>0.54</v>
      </c>
      <c r="F21" s="42"/>
    </row>
    <row r="22" spans="1:6" s="48" customFormat="1" ht="22.5">
      <c r="A22" s="58" t="s">
        <v>25</v>
      </c>
      <c r="B22" s="59" t="s">
        <v>177</v>
      </c>
      <c r="C22" s="42">
        <f>0.42*2*0.75</f>
        <v>0.63</v>
      </c>
      <c r="D22" s="42">
        <f>0.41*1.7*0.75</f>
        <v>0.5227499999999999</v>
      </c>
      <c r="E22" s="42">
        <f>0.4*1.5*0.75</f>
        <v>0.45000000000000007</v>
      </c>
      <c r="F22" s="42"/>
    </row>
    <row r="23" spans="1:7" s="48" customFormat="1" ht="25.5" customHeight="1">
      <c r="A23" s="58" t="s">
        <v>27</v>
      </c>
      <c r="B23" s="59" t="s">
        <v>173</v>
      </c>
      <c r="C23" s="42">
        <f>0.3*2*0.75</f>
        <v>0.44999999999999996</v>
      </c>
      <c r="D23" s="42">
        <f>0.29*1.7*0.75</f>
        <v>0.36974999999999997</v>
      </c>
      <c r="E23" s="42">
        <f>0.28*1.5*0.75</f>
        <v>0.31500000000000006</v>
      </c>
      <c r="F23" s="42"/>
      <c r="G23" s="60"/>
    </row>
    <row r="24" spans="1:7" s="48" customFormat="1" ht="12.75">
      <c r="A24" s="58" t="s">
        <v>30</v>
      </c>
      <c r="B24" s="59" t="s">
        <v>178</v>
      </c>
      <c r="C24" s="42">
        <f>0.4*0.75</f>
        <v>0.30000000000000004</v>
      </c>
      <c r="D24" s="42">
        <f>0.36*0.75</f>
        <v>0.27</v>
      </c>
      <c r="E24" s="42">
        <f>0.32*0.75</f>
        <v>0.24</v>
      </c>
      <c r="F24" s="42"/>
      <c r="G24" s="60"/>
    </row>
    <row r="25" spans="1:7" s="48" customFormat="1" ht="22.5">
      <c r="A25" s="58" t="s">
        <v>32</v>
      </c>
      <c r="B25" s="59" t="s">
        <v>174</v>
      </c>
      <c r="C25" s="42">
        <f>0.27*2*0.75</f>
        <v>0.405</v>
      </c>
      <c r="D25" s="42">
        <f>0.26*1.7*0.75</f>
        <v>0.3315</v>
      </c>
      <c r="E25" s="42">
        <f>0.24*1.5*0.75</f>
        <v>0.27</v>
      </c>
      <c r="F25" s="42"/>
      <c r="G25" s="60"/>
    </row>
    <row r="26" spans="1:7" s="48" customFormat="1" ht="45">
      <c r="A26" s="58" t="s">
        <v>179</v>
      </c>
      <c r="B26" s="59" t="s">
        <v>182</v>
      </c>
      <c r="C26" s="42">
        <f>1*0.75</f>
        <v>0.75</v>
      </c>
      <c r="D26" s="42">
        <f>0.9*0.75</f>
        <v>0.675</v>
      </c>
      <c r="E26" s="42">
        <f>0.8*0.75</f>
        <v>0.6000000000000001</v>
      </c>
      <c r="F26" s="42">
        <v>1</v>
      </c>
      <c r="G26" s="60"/>
    </row>
    <row r="27" spans="1:6" s="48" customFormat="1" ht="12.75">
      <c r="A27" s="58" t="s">
        <v>180</v>
      </c>
      <c r="B27" s="59" t="s">
        <v>171</v>
      </c>
      <c r="C27" s="42">
        <f>0.31*2*0.75</f>
        <v>0.46499999999999997</v>
      </c>
      <c r="D27" s="42">
        <f>0.3*1.7*0.75</f>
        <v>0.3825</v>
      </c>
      <c r="E27" s="42">
        <f>0.28*1.5*0.75</f>
        <v>0.31500000000000006</v>
      </c>
      <c r="F27" s="42">
        <v>1</v>
      </c>
    </row>
    <row r="28" spans="1:6" s="48" customFormat="1" ht="22.5">
      <c r="A28" s="58" t="s">
        <v>181</v>
      </c>
      <c r="B28" s="59" t="s">
        <v>175</v>
      </c>
      <c r="C28" s="42">
        <f>0.21*2*0.75</f>
        <v>0.315</v>
      </c>
      <c r="D28" s="42">
        <f>0.21*1.7*0.75</f>
        <v>0.26775</v>
      </c>
      <c r="E28" s="42">
        <f>0.19*1.5*0.75</f>
        <v>0.21375000000000002</v>
      </c>
      <c r="F28" s="42"/>
    </row>
    <row r="29" spans="1:8" s="48" customFormat="1" ht="45">
      <c r="A29" s="58" t="s">
        <v>185</v>
      </c>
      <c r="B29" s="59" t="s">
        <v>184</v>
      </c>
      <c r="C29" s="42">
        <v>0.4</v>
      </c>
      <c r="D29" s="42">
        <v>0.32</v>
      </c>
      <c r="E29" s="42">
        <v>0.26</v>
      </c>
      <c r="F29" s="42"/>
      <c r="H29" s="48" t="s">
        <v>114</v>
      </c>
    </row>
    <row r="30" spans="1:6" s="48" customFormat="1" ht="12.75">
      <c r="A30" s="58" t="s">
        <v>186</v>
      </c>
      <c r="B30" s="59" t="s">
        <v>35</v>
      </c>
      <c r="C30" s="42">
        <f>0.33*2*0.75</f>
        <v>0.495</v>
      </c>
      <c r="D30" s="42">
        <f>0.32*1.7*0.75</f>
        <v>0.40800000000000003</v>
      </c>
      <c r="E30" s="42">
        <f>0.3*1.5*0.75</f>
        <v>0.33749999999999997</v>
      </c>
      <c r="F30" s="42">
        <v>1</v>
      </c>
    </row>
    <row r="31" spans="1:6" s="48" customFormat="1" ht="12.75">
      <c r="A31" s="58">
        <v>2</v>
      </c>
      <c r="B31" s="61" t="s">
        <v>36</v>
      </c>
      <c r="C31" s="42">
        <f>0.21*2*0.75</f>
        <v>0.315</v>
      </c>
      <c r="D31" s="42">
        <f>0.21*1.7*0.75</f>
        <v>0.26775</v>
      </c>
      <c r="E31" s="42">
        <f>0.19*1.5*0.75</f>
        <v>0.21375000000000002</v>
      </c>
      <c r="F31" s="42"/>
    </row>
    <row r="32" spans="1:6" s="48" customFormat="1" ht="14.25" customHeight="1">
      <c r="A32" s="58">
        <v>3</v>
      </c>
      <c r="B32" s="144" t="s">
        <v>154</v>
      </c>
      <c r="C32" s="145"/>
      <c r="D32" s="145"/>
      <c r="E32" s="145"/>
      <c r="F32" s="146"/>
    </row>
    <row r="33" spans="1:6" s="48" customFormat="1" ht="33.75">
      <c r="A33" s="58" t="s">
        <v>37</v>
      </c>
      <c r="B33" s="59" t="s">
        <v>170</v>
      </c>
      <c r="C33" s="42">
        <f>0.23*2*0.75</f>
        <v>0.34500000000000003</v>
      </c>
      <c r="D33" s="42">
        <f>0.23*1.7*0.75</f>
        <v>0.29325</v>
      </c>
      <c r="E33" s="42">
        <f>0.22*1.5*0.75</f>
        <v>0.2475</v>
      </c>
      <c r="F33" s="42">
        <f>0.23*2*0.75</f>
        <v>0.34500000000000003</v>
      </c>
    </row>
    <row r="34" spans="1:6" s="48" customFormat="1" ht="26.25" customHeight="1">
      <c r="A34" s="58" t="s">
        <v>39</v>
      </c>
      <c r="B34" s="59" t="s">
        <v>172</v>
      </c>
      <c r="C34" s="42">
        <f>0.22*2*0.75</f>
        <v>0.33</v>
      </c>
      <c r="D34" s="42">
        <f>0.22*1.7*0.75</f>
        <v>0.28049999999999997</v>
      </c>
      <c r="E34" s="42">
        <f>0.22*1.5*0.75</f>
        <v>0.2475</v>
      </c>
      <c r="F34" s="42">
        <f>0.22*2*0.75</f>
        <v>0.33</v>
      </c>
    </row>
    <row r="35" spans="1:6" s="48" customFormat="1" ht="12.75">
      <c r="A35" s="58" t="s">
        <v>41</v>
      </c>
      <c r="B35" s="59" t="s">
        <v>187</v>
      </c>
      <c r="C35" s="42">
        <f>0.22*2*0.75</f>
        <v>0.33</v>
      </c>
      <c r="D35" s="42">
        <f>0.22*1.7*0.75</f>
        <v>0.28049999999999997</v>
      </c>
      <c r="E35" s="42">
        <f>0.22*1.5*0.75</f>
        <v>0.2475</v>
      </c>
      <c r="F35" s="42">
        <f>0.22*2*0.75</f>
        <v>0.33</v>
      </c>
    </row>
    <row r="36" spans="1:6" s="48" customFormat="1" ht="12.75">
      <c r="A36" s="58" t="s">
        <v>43</v>
      </c>
      <c r="B36" s="59" t="s">
        <v>46</v>
      </c>
      <c r="C36" s="42">
        <f>0.22*2*0.75</f>
        <v>0.33</v>
      </c>
      <c r="D36" s="42">
        <f>0.22*1.7*0.75</f>
        <v>0.28049999999999997</v>
      </c>
      <c r="E36" s="42">
        <f>0.22*1.5*0.75</f>
        <v>0.2475</v>
      </c>
      <c r="F36" s="42">
        <f>0.22*2*0.75</f>
        <v>0.33</v>
      </c>
    </row>
    <row r="37" spans="1:6" s="48" customFormat="1" ht="56.25">
      <c r="A37" s="58">
        <v>4</v>
      </c>
      <c r="B37" s="59" t="s">
        <v>155</v>
      </c>
      <c r="C37" s="42">
        <f>0.27*2*0.75</f>
        <v>0.405</v>
      </c>
      <c r="D37" s="42">
        <f>0.27*1.7*0.75</f>
        <v>0.34425</v>
      </c>
      <c r="E37" s="42">
        <f>0.27*1.5*0.75</f>
        <v>0.30375</v>
      </c>
      <c r="F37" s="42">
        <v>1</v>
      </c>
    </row>
    <row r="38" spans="1:6" s="48" customFormat="1" ht="67.5">
      <c r="A38" s="58">
        <v>5</v>
      </c>
      <c r="B38" s="59" t="s">
        <v>157</v>
      </c>
      <c r="C38" s="164">
        <v>1</v>
      </c>
      <c r="D38" s="165"/>
      <c r="E38" s="165"/>
      <c r="F38" s="166"/>
    </row>
    <row r="39" spans="1:30" s="63" customFormat="1" ht="12" thickBot="1">
      <c r="A39" s="167" t="s">
        <v>48</v>
      </c>
      <c r="B39" s="167" t="s">
        <v>2</v>
      </c>
      <c r="C39" s="169" t="s">
        <v>3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/>
      <c r="P39" s="171"/>
      <c r="Q39" s="171"/>
      <c r="R39" s="171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2"/>
    </row>
    <row r="40" spans="1:30" s="63" customFormat="1" ht="23.25" customHeight="1">
      <c r="A40" s="167"/>
      <c r="B40" s="168"/>
      <c r="C40" s="173" t="s">
        <v>4</v>
      </c>
      <c r="D40" s="150" t="s">
        <v>151</v>
      </c>
      <c r="E40" s="162" t="s">
        <v>49</v>
      </c>
      <c r="F40" s="175" t="s">
        <v>150</v>
      </c>
      <c r="G40" s="173" t="s">
        <v>4</v>
      </c>
      <c r="H40" s="150" t="s">
        <v>151</v>
      </c>
      <c r="I40" s="162" t="s">
        <v>49</v>
      </c>
      <c r="J40" s="175" t="s">
        <v>150</v>
      </c>
      <c r="K40" s="173" t="s">
        <v>4</v>
      </c>
      <c r="L40" s="150" t="s">
        <v>151</v>
      </c>
      <c r="M40" s="162" t="s">
        <v>49</v>
      </c>
      <c r="N40" s="181" t="s">
        <v>150</v>
      </c>
      <c r="O40" s="173" t="s">
        <v>4</v>
      </c>
      <c r="P40" s="162" t="s">
        <v>151</v>
      </c>
      <c r="Q40" s="162" t="s">
        <v>49</v>
      </c>
      <c r="R40" s="175" t="s">
        <v>150</v>
      </c>
      <c r="S40" s="178" t="s">
        <v>4</v>
      </c>
      <c r="T40" s="150" t="s">
        <v>151</v>
      </c>
      <c r="U40" s="162" t="s">
        <v>49</v>
      </c>
      <c r="V40" s="175" t="s">
        <v>150</v>
      </c>
      <c r="W40" s="173" t="s">
        <v>4</v>
      </c>
      <c r="X40" s="150" t="s">
        <v>151</v>
      </c>
      <c r="Y40" s="162" t="s">
        <v>49</v>
      </c>
      <c r="Z40" s="175" t="s">
        <v>150</v>
      </c>
      <c r="AA40" s="173" t="s">
        <v>4</v>
      </c>
      <c r="AB40" s="150" t="s">
        <v>151</v>
      </c>
      <c r="AC40" s="162" t="s">
        <v>49</v>
      </c>
      <c r="AD40" s="175" t="s">
        <v>150</v>
      </c>
    </row>
    <row r="41" spans="1:30" s="63" customFormat="1" ht="36.75" customHeight="1" thickBot="1">
      <c r="A41" s="167"/>
      <c r="B41" s="168"/>
      <c r="C41" s="174"/>
      <c r="D41" s="151"/>
      <c r="E41" s="160"/>
      <c r="F41" s="176"/>
      <c r="G41" s="177"/>
      <c r="H41" s="151"/>
      <c r="I41" s="160"/>
      <c r="J41" s="176"/>
      <c r="K41" s="180"/>
      <c r="L41" s="151"/>
      <c r="M41" s="160"/>
      <c r="N41" s="182"/>
      <c r="O41" s="180"/>
      <c r="P41" s="163"/>
      <c r="Q41" s="163"/>
      <c r="R41" s="188"/>
      <c r="S41" s="179"/>
      <c r="T41" s="151"/>
      <c r="U41" s="160"/>
      <c r="V41" s="176"/>
      <c r="W41" s="180"/>
      <c r="X41" s="151"/>
      <c r="Y41" s="160"/>
      <c r="Z41" s="176"/>
      <c r="AA41" s="180"/>
      <c r="AB41" s="151"/>
      <c r="AC41" s="160"/>
      <c r="AD41" s="176"/>
    </row>
    <row r="42" spans="1:30" s="63" customFormat="1" ht="11.25" customHeight="1" thickBot="1">
      <c r="A42" s="167"/>
      <c r="B42" s="168"/>
      <c r="C42" s="183" t="s">
        <v>108</v>
      </c>
      <c r="D42" s="184"/>
      <c r="E42" s="184"/>
      <c r="F42" s="185"/>
      <c r="G42" s="183" t="s">
        <v>50</v>
      </c>
      <c r="H42" s="184"/>
      <c r="I42" s="184"/>
      <c r="J42" s="185"/>
      <c r="K42" s="183" t="s">
        <v>51</v>
      </c>
      <c r="L42" s="184"/>
      <c r="M42" s="184"/>
      <c r="N42" s="186"/>
      <c r="O42" s="183" t="s">
        <v>52</v>
      </c>
      <c r="P42" s="184"/>
      <c r="Q42" s="184"/>
      <c r="R42" s="185"/>
      <c r="S42" s="187" t="s">
        <v>53</v>
      </c>
      <c r="T42" s="184"/>
      <c r="U42" s="184"/>
      <c r="V42" s="185"/>
      <c r="W42" s="183" t="s">
        <v>54</v>
      </c>
      <c r="X42" s="184"/>
      <c r="Y42" s="184"/>
      <c r="Z42" s="185"/>
      <c r="AA42" s="183" t="s">
        <v>55</v>
      </c>
      <c r="AB42" s="184"/>
      <c r="AC42" s="184"/>
      <c r="AD42" s="185"/>
    </row>
    <row r="43" spans="1:30" s="63" customFormat="1" ht="13.5" customHeight="1" thickBot="1">
      <c r="A43" s="58">
        <v>6</v>
      </c>
      <c r="B43" s="140" t="s">
        <v>158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64"/>
    </row>
    <row r="44" spans="1:30" s="63" customFormat="1" ht="11.25">
      <c r="A44" s="58" t="s">
        <v>57</v>
      </c>
      <c r="B44" s="65" t="s">
        <v>95</v>
      </c>
      <c r="C44" s="50">
        <f>0.65*0.75</f>
        <v>0.48750000000000004</v>
      </c>
      <c r="D44" s="66">
        <f>C44*0.9</f>
        <v>0.43875000000000003</v>
      </c>
      <c r="E44" s="66">
        <f>C44*0.7</f>
        <v>0.34125</v>
      </c>
      <c r="F44" s="67">
        <f>C44*0.8</f>
        <v>0.39000000000000007</v>
      </c>
      <c r="G44" s="50">
        <f>C44*0.9</f>
        <v>0.43875000000000003</v>
      </c>
      <c r="H44" s="66">
        <f>G44*0.9</f>
        <v>0.39487500000000003</v>
      </c>
      <c r="I44" s="66">
        <v>0.29</v>
      </c>
      <c r="J44" s="67">
        <v>0.31</v>
      </c>
      <c r="K44" s="50">
        <f>C44*0.8</f>
        <v>0.39000000000000007</v>
      </c>
      <c r="L44" s="66">
        <f>K44*0.9</f>
        <v>0.3510000000000001</v>
      </c>
      <c r="M44" s="66">
        <f>K44*0.7</f>
        <v>0.273</v>
      </c>
      <c r="N44" s="67">
        <f>K44*0.8</f>
        <v>0.31200000000000006</v>
      </c>
      <c r="O44" s="50">
        <f>C44*0.7</f>
        <v>0.34125</v>
      </c>
      <c r="P44" s="66">
        <f>O44*0.9</f>
        <v>0.307125</v>
      </c>
      <c r="Q44" s="66">
        <f>O44*0.7</f>
        <v>0.23887499999999998</v>
      </c>
      <c r="R44" s="67">
        <f>O44*0.8</f>
        <v>0.273</v>
      </c>
      <c r="S44" s="50">
        <f>C44*0.6</f>
        <v>0.29250000000000004</v>
      </c>
      <c r="T44" s="66">
        <f>S44*0.9</f>
        <v>0.26325000000000004</v>
      </c>
      <c r="U44" s="66">
        <f>S44*0.7</f>
        <v>0.20475000000000002</v>
      </c>
      <c r="V44" s="67">
        <f>S44*0.8</f>
        <v>0.23400000000000004</v>
      </c>
      <c r="W44" s="50">
        <f>C44*0.5</f>
        <v>0.24375000000000002</v>
      </c>
      <c r="X44" s="66">
        <f>W44*0.9</f>
        <v>0.21937500000000001</v>
      </c>
      <c r="Y44" s="66">
        <f>W44*0.7</f>
        <v>0.170625</v>
      </c>
      <c r="Z44" s="67">
        <f>W44*0.8</f>
        <v>0.19500000000000003</v>
      </c>
      <c r="AA44" s="50">
        <f>C44*0.4</f>
        <v>0.19500000000000003</v>
      </c>
      <c r="AB44" s="66">
        <f>AA44*0.9</f>
        <v>0.17550000000000004</v>
      </c>
      <c r="AC44" s="66">
        <f>AA44*0.7</f>
        <v>0.1365</v>
      </c>
      <c r="AD44" s="67">
        <f>AA44*0.8</f>
        <v>0.15600000000000003</v>
      </c>
    </row>
    <row r="45" spans="1:30" s="63" customFormat="1" ht="11.25">
      <c r="A45" s="58" t="s">
        <v>58</v>
      </c>
      <c r="B45" s="65" t="s">
        <v>152</v>
      </c>
      <c r="C45" s="99">
        <f>C44*50%</f>
        <v>0.24375000000000002</v>
      </c>
      <c r="D45" s="99">
        <f aca="true" t="shared" si="0" ref="D45:AD45">D44*50%</f>
        <v>0.21937500000000001</v>
      </c>
      <c r="E45" s="99">
        <f t="shared" si="0"/>
        <v>0.170625</v>
      </c>
      <c r="F45" s="99">
        <f t="shared" si="0"/>
        <v>0.19500000000000003</v>
      </c>
      <c r="G45" s="99">
        <f t="shared" si="0"/>
        <v>0.21937500000000001</v>
      </c>
      <c r="H45" s="99">
        <f t="shared" si="0"/>
        <v>0.19743750000000002</v>
      </c>
      <c r="I45" s="99">
        <f t="shared" si="0"/>
        <v>0.145</v>
      </c>
      <c r="J45" s="99">
        <f t="shared" si="0"/>
        <v>0.155</v>
      </c>
      <c r="K45" s="99">
        <f t="shared" si="0"/>
        <v>0.19500000000000003</v>
      </c>
      <c r="L45" s="99">
        <f t="shared" si="0"/>
        <v>0.17550000000000004</v>
      </c>
      <c r="M45" s="99">
        <f t="shared" si="0"/>
        <v>0.1365</v>
      </c>
      <c r="N45" s="99">
        <f t="shared" si="0"/>
        <v>0.15600000000000003</v>
      </c>
      <c r="O45" s="99">
        <f t="shared" si="0"/>
        <v>0.170625</v>
      </c>
      <c r="P45" s="99">
        <f t="shared" si="0"/>
        <v>0.1535625</v>
      </c>
      <c r="Q45" s="99">
        <f t="shared" si="0"/>
        <v>0.11943749999999999</v>
      </c>
      <c r="R45" s="99">
        <f t="shared" si="0"/>
        <v>0.1365</v>
      </c>
      <c r="S45" s="99">
        <f t="shared" si="0"/>
        <v>0.14625000000000002</v>
      </c>
      <c r="T45" s="99">
        <f t="shared" si="0"/>
        <v>0.13162500000000002</v>
      </c>
      <c r="U45" s="99">
        <f t="shared" si="0"/>
        <v>0.10237500000000001</v>
      </c>
      <c r="V45" s="99">
        <f t="shared" si="0"/>
        <v>0.11700000000000002</v>
      </c>
      <c r="W45" s="99">
        <f t="shared" si="0"/>
        <v>0.12187500000000001</v>
      </c>
      <c r="X45" s="99">
        <f t="shared" si="0"/>
        <v>0.10968750000000001</v>
      </c>
      <c r="Y45" s="99">
        <f t="shared" si="0"/>
        <v>0.0853125</v>
      </c>
      <c r="Z45" s="99">
        <f t="shared" si="0"/>
        <v>0.09750000000000002</v>
      </c>
      <c r="AA45" s="99">
        <f t="shared" si="0"/>
        <v>0.09750000000000002</v>
      </c>
      <c r="AB45" s="99">
        <f t="shared" si="0"/>
        <v>0.08775000000000002</v>
      </c>
      <c r="AC45" s="99">
        <f t="shared" si="0"/>
        <v>0.06825</v>
      </c>
      <c r="AD45" s="99">
        <f t="shared" si="0"/>
        <v>0.07800000000000001</v>
      </c>
    </row>
    <row r="46" spans="1:30" s="63" customFormat="1" ht="22.5">
      <c r="A46" s="58" t="s">
        <v>59</v>
      </c>
      <c r="B46" s="65" t="s">
        <v>93</v>
      </c>
      <c r="C46" s="43">
        <f>0.9*0.75</f>
        <v>0.675</v>
      </c>
      <c r="D46" s="68">
        <f>C46*0.9</f>
        <v>0.6075</v>
      </c>
      <c r="E46" s="68">
        <f>C46*0.7</f>
        <v>0.4725</v>
      </c>
      <c r="F46" s="69">
        <f>C46*0.8</f>
        <v>0.54</v>
      </c>
      <c r="G46" s="43">
        <f>C46*0.9</f>
        <v>0.6075</v>
      </c>
      <c r="H46" s="68">
        <v>0.46</v>
      </c>
      <c r="I46" s="68">
        <f>0.3*0.75</f>
        <v>0.22499999999999998</v>
      </c>
      <c r="J46" s="69">
        <f>0.4*0.8</f>
        <v>0.32000000000000006</v>
      </c>
      <c r="K46" s="43">
        <f>C46*0.8</f>
        <v>0.54</v>
      </c>
      <c r="L46" s="68">
        <f>K46*0.9</f>
        <v>0.48600000000000004</v>
      </c>
      <c r="M46" s="68">
        <f>0.45*0.75</f>
        <v>0.3375</v>
      </c>
      <c r="N46" s="68">
        <f>0.45*0.75</f>
        <v>0.3375</v>
      </c>
      <c r="O46" s="43">
        <v>0.42</v>
      </c>
      <c r="P46" s="68">
        <f>O46*0.9</f>
        <v>0.378</v>
      </c>
      <c r="Q46" s="68">
        <f>O46*0.7</f>
        <v>0.294</v>
      </c>
      <c r="R46" s="69">
        <f>O46*0.8</f>
        <v>0.336</v>
      </c>
      <c r="S46" s="43">
        <f>C46*0.6</f>
        <v>0.405</v>
      </c>
      <c r="T46" s="68">
        <f>S46*0.9</f>
        <v>0.36450000000000005</v>
      </c>
      <c r="U46" s="68">
        <f>S46*0.7</f>
        <v>0.2835</v>
      </c>
      <c r="V46" s="69">
        <f>S46*0.8</f>
        <v>0.32400000000000007</v>
      </c>
      <c r="W46" s="43">
        <f>C46*0.5</f>
        <v>0.3375</v>
      </c>
      <c r="X46" s="68">
        <f>W46*0.9</f>
        <v>0.30375</v>
      </c>
      <c r="Y46" s="68">
        <f>W46*0.7</f>
        <v>0.23625</v>
      </c>
      <c r="Z46" s="69">
        <f>W46*0.8</f>
        <v>0.27</v>
      </c>
      <c r="AA46" s="43">
        <f>C46*0.4</f>
        <v>0.27</v>
      </c>
      <c r="AB46" s="68">
        <f>AA46*0.9</f>
        <v>0.24300000000000002</v>
      </c>
      <c r="AC46" s="68">
        <f>AA46*0.7</f>
        <v>0.189</v>
      </c>
      <c r="AD46" s="69">
        <f>AA46*0.8</f>
        <v>0.21600000000000003</v>
      </c>
    </row>
    <row r="47" spans="1:30" s="63" customFormat="1" ht="11.25">
      <c r="A47" s="58" t="s">
        <v>60</v>
      </c>
      <c r="B47" s="65" t="s">
        <v>112</v>
      </c>
      <c r="C47" s="189">
        <v>1</v>
      </c>
      <c r="D47" s="190"/>
      <c r="E47" s="190"/>
      <c r="F47" s="191"/>
      <c r="G47" s="192">
        <v>1</v>
      </c>
      <c r="H47" s="193"/>
      <c r="I47" s="193"/>
      <c r="J47" s="194"/>
      <c r="K47" s="192">
        <v>1</v>
      </c>
      <c r="L47" s="193"/>
      <c r="M47" s="193"/>
      <c r="N47" s="194"/>
      <c r="O47" s="192">
        <v>1</v>
      </c>
      <c r="P47" s="193"/>
      <c r="Q47" s="193"/>
      <c r="R47" s="194"/>
      <c r="S47" s="192">
        <v>1</v>
      </c>
      <c r="T47" s="193"/>
      <c r="U47" s="193"/>
      <c r="V47" s="194"/>
      <c r="W47" s="192">
        <v>1</v>
      </c>
      <c r="X47" s="193"/>
      <c r="Y47" s="193"/>
      <c r="Z47" s="194"/>
      <c r="AA47" s="192">
        <v>1</v>
      </c>
      <c r="AB47" s="193"/>
      <c r="AC47" s="193"/>
      <c r="AD47" s="194"/>
    </row>
    <row r="48" spans="1:30" s="63" customFormat="1" ht="11.25">
      <c r="A48" s="58" t="s">
        <v>61</v>
      </c>
      <c r="B48" s="65" t="s">
        <v>96</v>
      </c>
      <c r="C48" s="43">
        <f>0.42*2*0.75*0.6</f>
        <v>0.378</v>
      </c>
      <c r="D48" s="68">
        <f>C48*0.9</f>
        <v>0.3402</v>
      </c>
      <c r="E48" s="68">
        <f>C48*0.7</f>
        <v>0.2646</v>
      </c>
      <c r="F48" s="69">
        <f>C48*0.8</f>
        <v>0.3024</v>
      </c>
      <c r="G48" s="43">
        <f aca="true" t="shared" si="1" ref="G48:G55">C48*0.9</f>
        <v>0.3402</v>
      </c>
      <c r="H48" s="68">
        <f aca="true" t="shared" si="2" ref="H48:H55">G48*0.9</f>
        <v>0.30618</v>
      </c>
      <c r="I48" s="68">
        <f aca="true" t="shared" si="3" ref="I48:I55">G48*0.7</f>
        <v>0.23814</v>
      </c>
      <c r="J48" s="69">
        <f aca="true" t="shared" si="4" ref="J48:J55">G48*0.8</f>
        <v>0.27216</v>
      </c>
      <c r="K48" s="43">
        <f aca="true" t="shared" si="5" ref="K48:K55">C48*0.8</f>
        <v>0.3024</v>
      </c>
      <c r="L48" s="68">
        <f aca="true" t="shared" si="6" ref="L48:L55">K48*0.9</f>
        <v>0.27216</v>
      </c>
      <c r="M48" s="68">
        <f aca="true" t="shared" si="7" ref="M48:M55">K48*0.7</f>
        <v>0.21167999999999998</v>
      </c>
      <c r="N48" s="69">
        <f aca="true" t="shared" si="8" ref="N48:N55">K48*0.8</f>
        <v>0.24192000000000002</v>
      </c>
      <c r="O48" s="43">
        <f aca="true" t="shared" si="9" ref="O48:O55">C48*0.7</f>
        <v>0.2646</v>
      </c>
      <c r="P48" s="68">
        <f aca="true" t="shared" si="10" ref="P48:P55">O48*0.9</f>
        <v>0.23814000000000002</v>
      </c>
      <c r="Q48" s="68">
        <f aca="true" t="shared" si="11" ref="Q48:Q55">O48*0.7</f>
        <v>0.18522</v>
      </c>
      <c r="R48" s="69">
        <f aca="true" t="shared" si="12" ref="R48:R55">O48*0.8</f>
        <v>0.21168</v>
      </c>
      <c r="S48" s="43">
        <f aca="true" t="shared" si="13" ref="S48:S55">C48*0.6</f>
        <v>0.2268</v>
      </c>
      <c r="T48" s="68">
        <f aca="true" t="shared" si="14" ref="T48:T55">S48*0.9</f>
        <v>0.20412</v>
      </c>
      <c r="U48" s="68">
        <f aca="true" t="shared" si="15" ref="U48:U55">S48*0.7</f>
        <v>0.15875999999999998</v>
      </c>
      <c r="V48" s="69">
        <f aca="true" t="shared" si="16" ref="V48:V55">S48*0.8</f>
        <v>0.18144000000000002</v>
      </c>
      <c r="W48" s="43">
        <f aca="true" t="shared" si="17" ref="W48:W55">C48*0.5</f>
        <v>0.189</v>
      </c>
      <c r="X48" s="68">
        <f aca="true" t="shared" si="18" ref="X48:X55">W48*0.9</f>
        <v>0.1701</v>
      </c>
      <c r="Y48" s="68">
        <f aca="true" t="shared" si="19" ref="Y48:Y55">W48*0.7</f>
        <v>0.1323</v>
      </c>
      <c r="Z48" s="69">
        <f aca="true" t="shared" si="20" ref="Z48:Z55">W48*0.8</f>
        <v>0.1512</v>
      </c>
      <c r="AA48" s="43">
        <f aca="true" t="shared" si="21" ref="AA48:AA55">C48*0.4</f>
        <v>0.1512</v>
      </c>
      <c r="AB48" s="68">
        <f aca="true" t="shared" si="22" ref="AB48:AB55">AA48*0.9</f>
        <v>0.13608</v>
      </c>
      <c r="AC48" s="68">
        <f aca="true" t="shared" si="23" ref="AC48:AC55">AA48*0.7</f>
        <v>0.10583999999999999</v>
      </c>
      <c r="AD48" s="69">
        <f aca="true" t="shared" si="24" ref="AD48:AD55">AA48*0.8</f>
        <v>0.12096000000000001</v>
      </c>
    </row>
    <row r="49" spans="1:30" s="63" customFormat="1" ht="11.25">
      <c r="A49" s="58" t="s">
        <v>63</v>
      </c>
      <c r="B49" s="65" t="s">
        <v>62</v>
      </c>
      <c r="C49" s="43">
        <f>0.9*0.75*0.6</f>
        <v>0.405</v>
      </c>
      <c r="D49" s="68">
        <f aca="true" t="shared" si="25" ref="D49:D55">C49*0.9</f>
        <v>0.36450000000000005</v>
      </c>
      <c r="E49" s="68">
        <f aca="true" t="shared" si="26" ref="E49:E55">C49*0.7</f>
        <v>0.2835</v>
      </c>
      <c r="F49" s="69">
        <f aca="true" t="shared" si="27" ref="F49:F55">C49*0.8</f>
        <v>0.32400000000000007</v>
      </c>
      <c r="G49" s="43">
        <f t="shared" si="1"/>
        <v>0.36450000000000005</v>
      </c>
      <c r="H49" s="68">
        <f t="shared" si="2"/>
        <v>0.32805000000000006</v>
      </c>
      <c r="I49" s="68">
        <f t="shared" si="3"/>
        <v>0.25515000000000004</v>
      </c>
      <c r="J49" s="69">
        <f t="shared" si="4"/>
        <v>0.2916</v>
      </c>
      <c r="K49" s="43">
        <f t="shared" si="5"/>
        <v>0.32400000000000007</v>
      </c>
      <c r="L49" s="68">
        <f t="shared" si="6"/>
        <v>0.2916000000000001</v>
      </c>
      <c r="M49" s="68">
        <f t="shared" si="7"/>
        <v>0.22680000000000003</v>
      </c>
      <c r="N49" s="69">
        <f t="shared" si="8"/>
        <v>0.25920000000000004</v>
      </c>
      <c r="O49" s="43">
        <f t="shared" si="9"/>
        <v>0.2835</v>
      </c>
      <c r="P49" s="68">
        <f t="shared" si="10"/>
        <v>0.25515</v>
      </c>
      <c r="Q49" s="68">
        <f t="shared" si="11"/>
        <v>0.19844999999999996</v>
      </c>
      <c r="R49" s="69">
        <f t="shared" si="12"/>
        <v>0.2268</v>
      </c>
      <c r="S49" s="43">
        <f t="shared" si="13"/>
        <v>0.243</v>
      </c>
      <c r="T49" s="68">
        <f t="shared" si="14"/>
        <v>0.2187</v>
      </c>
      <c r="U49" s="68">
        <f t="shared" si="15"/>
        <v>0.17009999999999997</v>
      </c>
      <c r="V49" s="69">
        <f t="shared" si="16"/>
        <v>0.19440000000000002</v>
      </c>
      <c r="W49" s="43">
        <f t="shared" si="17"/>
        <v>0.2025</v>
      </c>
      <c r="X49" s="68">
        <f t="shared" si="18"/>
        <v>0.18225000000000002</v>
      </c>
      <c r="Y49" s="68">
        <f t="shared" si="19"/>
        <v>0.14175</v>
      </c>
      <c r="Z49" s="69">
        <f t="shared" si="20"/>
        <v>0.16200000000000003</v>
      </c>
      <c r="AA49" s="43">
        <f t="shared" si="21"/>
        <v>0.16200000000000003</v>
      </c>
      <c r="AB49" s="68">
        <f t="shared" si="22"/>
        <v>0.14580000000000004</v>
      </c>
      <c r="AC49" s="68">
        <f t="shared" si="23"/>
        <v>0.11340000000000001</v>
      </c>
      <c r="AD49" s="69">
        <f t="shared" si="24"/>
        <v>0.12960000000000002</v>
      </c>
    </row>
    <row r="50" spans="1:30" s="63" customFormat="1" ht="33.75">
      <c r="A50" s="58" t="s">
        <v>64</v>
      </c>
      <c r="B50" s="65" t="s">
        <v>97</v>
      </c>
      <c r="C50" s="43">
        <f>0.86*0.75*0.6</f>
        <v>0.387</v>
      </c>
      <c r="D50" s="68">
        <f t="shared" si="25"/>
        <v>0.3483</v>
      </c>
      <c r="E50" s="68">
        <f t="shared" si="26"/>
        <v>0.2709</v>
      </c>
      <c r="F50" s="69">
        <f t="shared" si="27"/>
        <v>0.30960000000000004</v>
      </c>
      <c r="G50" s="43">
        <f t="shared" si="1"/>
        <v>0.3483</v>
      </c>
      <c r="H50" s="68">
        <f t="shared" si="2"/>
        <v>0.31347</v>
      </c>
      <c r="I50" s="68">
        <f t="shared" si="3"/>
        <v>0.24380999999999997</v>
      </c>
      <c r="J50" s="69">
        <f t="shared" si="4"/>
        <v>0.27864</v>
      </c>
      <c r="K50" s="43">
        <f t="shared" si="5"/>
        <v>0.30960000000000004</v>
      </c>
      <c r="L50" s="68">
        <f t="shared" si="6"/>
        <v>0.27864000000000005</v>
      </c>
      <c r="M50" s="68">
        <f t="shared" si="7"/>
        <v>0.21672000000000002</v>
      </c>
      <c r="N50" s="69">
        <f t="shared" si="8"/>
        <v>0.24768000000000004</v>
      </c>
      <c r="O50" s="43">
        <f t="shared" si="9"/>
        <v>0.2709</v>
      </c>
      <c r="P50" s="68">
        <f t="shared" si="10"/>
        <v>0.24380999999999997</v>
      </c>
      <c r="Q50" s="68">
        <f t="shared" si="11"/>
        <v>0.18962999999999997</v>
      </c>
      <c r="R50" s="69">
        <f t="shared" si="12"/>
        <v>0.21672</v>
      </c>
      <c r="S50" s="43">
        <f t="shared" si="13"/>
        <v>0.2322</v>
      </c>
      <c r="T50" s="68">
        <f t="shared" si="14"/>
        <v>0.20898</v>
      </c>
      <c r="U50" s="68">
        <f t="shared" si="15"/>
        <v>0.16254</v>
      </c>
      <c r="V50" s="69">
        <f t="shared" si="16"/>
        <v>0.18576</v>
      </c>
      <c r="W50" s="43">
        <f t="shared" si="17"/>
        <v>0.1935</v>
      </c>
      <c r="X50" s="68">
        <f t="shared" si="18"/>
        <v>0.17415</v>
      </c>
      <c r="Y50" s="68">
        <f t="shared" si="19"/>
        <v>0.13545</v>
      </c>
      <c r="Z50" s="69">
        <f t="shared" si="20"/>
        <v>0.15480000000000002</v>
      </c>
      <c r="AA50" s="43">
        <f t="shared" si="21"/>
        <v>0.15480000000000002</v>
      </c>
      <c r="AB50" s="68">
        <f t="shared" si="22"/>
        <v>0.13932000000000003</v>
      </c>
      <c r="AC50" s="68">
        <f t="shared" si="23"/>
        <v>0.10836000000000001</v>
      </c>
      <c r="AD50" s="69">
        <f t="shared" si="24"/>
        <v>0.12384000000000002</v>
      </c>
    </row>
    <row r="51" spans="1:30" s="63" customFormat="1" ht="11.25">
      <c r="A51" s="58" t="s">
        <v>65</v>
      </c>
      <c r="B51" s="65" t="s">
        <v>98</v>
      </c>
      <c r="C51" s="43">
        <f>0.8*0.75*0.6</f>
        <v>0.36000000000000004</v>
      </c>
      <c r="D51" s="68">
        <f t="shared" si="25"/>
        <v>0.32400000000000007</v>
      </c>
      <c r="E51" s="68">
        <f t="shared" si="26"/>
        <v>0.252</v>
      </c>
      <c r="F51" s="69">
        <f t="shared" si="27"/>
        <v>0.28800000000000003</v>
      </c>
      <c r="G51" s="43">
        <f t="shared" si="1"/>
        <v>0.32400000000000007</v>
      </c>
      <c r="H51" s="68">
        <f t="shared" si="2"/>
        <v>0.2916000000000001</v>
      </c>
      <c r="I51" s="68">
        <f t="shared" si="3"/>
        <v>0.22680000000000003</v>
      </c>
      <c r="J51" s="69">
        <f t="shared" si="4"/>
        <v>0.25920000000000004</v>
      </c>
      <c r="K51" s="43">
        <f t="shared" si="5"/>
        <v>0.28800000000000003</v>
      </c>
      <c r="L51" s="68">
        <f t="shared" si="6"/>
        <v>0.25920000000000004</v>
      </c>
      <c r="M51" s="68">
        <f t="shared" si="7"/>
        <v>0.2016</v>
      </c>
      <c r="N51" s="69">
        <f t="shared" si="8"/>
        <v>0.23040000000000005</v>
      </c>
      <c r="O51" s="43">
        <f t="shared" si="9"/>
        <v>0.252</v>
      </c>
      <c r="P51" s="68">
        <f t="shared" si="10"/>
        <v>0.2268</v>
      </c>
      <c r="Q51" s="68">
        <f t="shared" si="11"/>
        <v>0.1764</v>
      </c>
      <c r="R51" s="69">
        <f t="shared" si="12"/>
        <v>0.2016</v>
      </c>
      <c r="S51" s="43">
        <f t="shared" si="13"/>
        <v>0.21600000000000003</v>
      </c>
      <c r="T51" s="68">
        <f t="shared" si="14"/>
        <v>0.19440000000000002</v>
      </c>
      <c r="U51" s="68">
        <f t="shared" si="15"/>
        <v>0.1512</v>
      </c>
      <c r="V51" s="69">
        <f t="shared" si="16"/>
        <v>0.17280000000000004</v>
      </c>
      <c r="W51" s="43">
        <f t="shared" si="17"/>
        <v>0.18000000000000002</v>
      </c>
      <c r="X51" s="68">
        <f t="shared" si="18"/>
        <v>0.16200000000000003</v>
      </c>
      <c r="Y51" s="68">
        <f t="shared" si="19"/>
        <v>0.126</v>
      </c>
      <c r="Z51" s="69">
        <f t="shared" si="20"/>
        <v>0.14400000000000002</v>
      </c>
      <c r="AA51" s="43">
        <f t="shared" si="21"/>
        <v>0.14400000000000002</v>
      </c>
      <c r="AB51" s="68">
        <f t="shared" si="22"/>
        <v>0.12960000000000002</v>
      </c>
      <c r="AC51" s="68">
        <f t="shared" si="23"/>
        <v>0.1008</v>
      </c>
      <c r="AD51" s="69">
        <f t="shared" si="24"/>
        <v>0.11520000000000002</v>
      </c>
    </row>
    <row r="52" spans="1:30" s="63" customFormat="1" ht="11.25">
      <c r="A52" s="58" t="s">
        <v>67</v>
      </c>
      <c r="B52" s="65" t="s">
        <v>66</v>
      </c>
      <c r="C52" s="43">
        <f>0.84*0.75*0.7</f>
        <v>0.44099999999999995</v>
      </c>
      <c r="D52" s="68">
        <f t="shared" si="25"/>
        <v>0.3969</v>
      </c>
      <c r="E52" s="68">
        <f t="shared" si="26"/>
        <v>0.3086999999999999</v>
      </c>
      <c r="F52" s="69">
        <f t="shared" si="27"/>
        <v>0.3528</v>
      </c>
      <c r="G52" s="43">
        <f t="shared" si="1"/>
        <v>0.3969</v>
      </c>
      <c r="H52" s="68">
        <f t="shared" si="2"/>
        <v>0.35720999999999997</v>
      </c>
      <c r="I52" s="68">
        <f t="shared" si="3"/>
        <v>0.27782999999999997</v>
      </c>
      <c r="J52" s="69">
        <f t="shared" si="4"/>
        <v>0.31752</v>
      </c>
      <c r="K52" s="43">
        <f t="shared" si="5"/>
        <v>0.3528</v>
      </c>
      <c r="L52" s="68">
        <f t="shared" si="6"/>
        <v>0.31752</v>
      </c>
      <c r="M52" s="68">
        <f t="shared" si="7"/>
        <v>0.24695999999999999</v>
      </c>
      <c r="N52" s="69">
        <f t="shared" si="8"/>
        <v>0.28224</v>
      </c>
      <c r="O52" s="43">
        <f t="shared" si="9"/>
        <v>0.3086999999999999</v>
      </c>
      <c r="P52" s="68">
        <f t="shared" si="10"/>
        <v>0.2778299999999999</v>
      </c>
      <c r="Q52" s="68">
        <f t="shared" si="11"/>
        <v>0.21608999999999992</v>
      </c>
      <c r="R52" s="69">
        <f t="shared" si="12"/>
        <v>0.24695999999999996</v>
      </c>
      <c r="S52" s="43">
        <f t="shared" si="13"/>
        <v>0.26459999999999995</v>
      </c>
      <c r="T52" s="68">
        <f t="shared" si="14"/>
        <v>0.23813999999999996</v>
      </c>
      <c r="U52" s="68">
        <f t="shared" si="15"/>
        <v>0.18521999999999994</v>
      </c>
      <c r="V52" s="69">
        <f t="shared" si="16"/>
        <v>0.21167999999999998</v>
      </c>
      <c r="W52" s="43">
        <f t="shared" si="17"/>
        <v>0.22049999999999997</v>
      </c>
      <c r="X52" s="68">
        <f t="shared" si="18"/>
        <v>0.19845</v>
      </c>
      <c r="Y52" s="68">
        <f t="shared" si="19"/>
        <v>0.15434999999999996</v>
      </c>
      <c r="Z52" s="69">
        <f t="shared" si="20"/>
        <v>0.1764</v>
      </c>
      <c r="AA52" s="43">
        <f t="shared" si="21"/>
        <v>0.1764</v>
      </c>
      <c r="AB52" s="68">
        <f t="shared" si="22"/>
        <v>0.15876</v>
      </c>
      <c r="AC52" s="68">
        <f t="shared" si="23"/>
        <v>0.12347999999999999</v>
      </c>
      <c r="AD52" s="69">
        <f t="shared" si="24"/>
        <v>0.14112</v>
      </c>
    </row>
    <row r="53" spans="1:30" s="63" customFormat="1" ht="11.25">
      <c r="A53" s="58" t="s">
        <v>68</v>
      </c>
      <c r="B53" s="65" t="s">
        <v>99</v>
      </c>
      <c r="C53" s="43">
        <f>0.12*2*0.75</f>
        <v>0.18</v>
      </c>
      <c r="D53" s="68">
        <f t="shared" si="25"/>
        <v>0.162</v>
      </c>
      <c r="E53" s="68">
        <f t="shared" si="26"/>
        <v>0.126</v>
      </c>
      <c r="F53" s="69">
        <f t="shared" si="27"/>
        <v>0.144</v>
      </c>
      <c r="G53" s="43">
        <f t="shared" si="1"/>
        <v>0.162</v>
      </c>
      <c r="H53" s="68">
        <f t="shared" si="2"/>
        <v>0.1458</v>
      </c>
      <c r="I53" s="68">
        <f t="shared" si="3"/>
        <v>0.1134</v>
      </c>
      <c r="J53" s="69">
        <f t="shared" si="4"/>
        <v>0.12960000000000002</v>
      </c>
      <c r="K53" s="43">
        <f t="shared" si="5"/>
        <v>0.144</v>
      </c>
      <c r="L53" s="68">
        <f t="shared" si="6"/>
        <v>0.1296</v>
      </c>
      <c r="M53" s="68">
        <f t="shared" si="7"/>
        <v>0.10079999999999999</v>
      </c>
      <c r="N53" s="69">
        <f t="shared" si="8"/>
        <v>0.1152</v>
      </c>
      <c r="O53" s="43">
        <f t="shared" si="9"/>
        <v>0.126</v>
      </c>
      <c r="P53" s="68">
        <f t="shared" si="10"/>
        <v>0.1134</v>
      </c>
      <c r="Q53" s="68">
        <f t="shared" si="11"/>
        <v>0.0882</v>
      </c>
      <c r="R53" s="69">
        <f t="shared" si="12"/>
        <v>0.1008</v>
      </c>
      <c r="S53" s="43">
        <f t="shared" si="13"/>
        <v>0.108</v>
      </c>
      <c r="T53" s="68">
        <f t="shared" si="14"/>
        <v>0.0972</v>
      </c>
      <c r="U53" s="68">
        <f t="shared" si="15"/>
        <v>0.0756</v>
      </c>
      <c r="V53" s="69">
        <f t="shared" si="16"/>
        <v>0.0864</v>
      </c>
      <c r="W53" s="43">
        <f t="shared" si="17"/>
        <v>0.09</v>
      </c>
      <c r="X53" s="68">
        <f t="shared" si="18"/>
        <v>0.081</v>
      </c>
      <c r="Y53" s="68">
        <f t="shared" si="19"/>
        <v>0.063</v>
      </c>
      <c r="Z53" s="69">
        <f t="shared" si="20"/>
        <v>0.072</v>
      </c>
      <c r="AA53" s="43">
        <f t="shared" si="21"/>
        <v>0.072</v>
      </c>
      <c r="AB53" s="68">
        <f t="shared" si="22"/>
        <v>0.0648</v>
      </c>
      <c r="AC53" s="68">
        <f t="shared" si="23"/>
        <v>0.05039999999999999</v>
      </c>
      <c r="AD53" s="69">
        <f t="shared" si="24"/>
        <v>0.0576</v>
      </c>
    </row>
    <row r="54" spans="1:30" s="63" customFormat="1" ht="13.5" customHeight="1">
      <c r="A54" s="58" t="s">
        <v>69</v>
      </c>
      <c r="B54" s="65" t="s">
        <v>70</v>
      </c>
      <c r="C54" s="43">
        <f>0.3*2*0.75*0.6</f>
        <v>0.26999999999999996</v>
      </c>
      <c r="D54" s="68">
        <f t="shared" si="25"/>
        <v>0.24299999999999997</v>
      </c>
      <c r="E54" s="68">
        <f t="shared" si="26"/>
        <v>0.18899999999999997</v>
      </c>
      <c r="F54" s="69">
        <f t="shared" si="27"/>
        <v>0.21599999999999997</v>
      </c>
      <c r="G54" s="43">
        <f t="shared" si="1"/>
        <v>0.24299999999999997</v>
      </c>
      <c r="H54" s="68">
        <f t="shared" si="2"/>
        <v>0.21869999999999998</v>
      </c>
      <c r="I54" s="68">
        <f t="shared" si="3"/>
        <v>0.17009999999999997</v>
      </c>
      <c r="J54" s="69">
        <f t="shared" si="4"/>
        <v>0.1944</v>
      </c>
      <c r="K54" s="43">
        <f t="shared" si="5"/>
        <v>0.21599999999999997</v>
      </c>
      <c r="L54" s="68">
        <f t="shared" si="6"/>
        <v>0.1944</v>
      </c>
      <c r="M54" s="68">
        <f t="shared" si="7"/>
        <v>0.15119999999999997</v>
      </c>
      <c r="N54" s="69">
        <f t="shared" si="8"/>
        <v>0.17279999999999998</v>
      </c>
      <c r="O54" s="43">
        <f t="shared" si="9"/>
        <v>0.18899999999999997</v>
      </c>
      <c r="P54" s="68">
        <f t="shared" si="10"/>
        <v>0.17009999999999997</v>
      </c>
      <c r="Q54" s="68">
        <f t="shared" si="11"/>
        <v>0.13229999999999997</v>
      </c>
      <c r="R54" s="69">
        <f t="shared" si="12"/>
        <v>0.1512</v>
      </c>
      <c r="S54" s="43">
        <f t="shared" si="13"/>
        <v>0.16199999999999998</v>
      </c>
      <c r="T54" s="68">
        <f t="shared" si="14"/>
        <v>0.14579999999999999</v>
      </c>
      <c r="U54" s="68">
        <f t="shared" si="15"/>
        <v>0.11339999999999997</v>
      </c>
      <c r="V54" s="69">
        <f t="shared" si="16"/>
        <v>0.1296</v>
      </c>
      <c r="W54" s="43">
        <f t="shared" si="17"/>
        <v>0.13499999999999998</v>
      </c>
      <c r="X54" s="68">
        <f t="shared" si="18"/>
        <v>0.12149999999999998</v>
      </c>
      <c r="Y54" s="68">
        <f t="shared" si="19"/>
        <v>0.09449999999999999</v>
      </c>
      <c r="Z54" s="69">
        <f t="shared" si="20"/>
        <v>0.10799999999999998</v>
      </c>
      <c r="AA54" s="43">
        <f t="shared" si="21"/>
        <v>0.10799999999999998</v>
      </c>
      <c r="AB54" s="68">
        <f t="shared" si="22"/>
        <v>0.0972</v>
      </c>
      <c r="AC54" s="68">
        <f t="shared" si="23"/>
        <v>0.07559999999999999</v>
      </c>
      <c r="AD54" s="69">
        <f t="shared" si="24"/>
        <v>0.08639999999999999</v>
      </c>
    </row>
    <row r="55" spans="1:30" s="63" customFormat="1" ht="12" thickBot="1">
      <c r="A55" s="58" t="s">
        <v>133</v>
      </c>
      <c r="B55" s="65" t="s">
        <v>100</v>
      </c>
      <c r="C55" s="44">
        <f>0.42*2*0.75*0.6</f>
        <v>0.378</v>
      </c>
      <c r="D55" s="70">
        <f t="shared" si="25"/>
        <v>0.3402</v>
      </c>
      <c r="E55" s="70">
        <f t="shared" si="26"/>
        <v>0.2646</v>
      </c>
      <c r="F55" s="71">
        <f t="shared" si="27"/>
        <v>0.3024</v>
      </c>
      <c r="G55" s="44">
        <f t="shared" si="1"/>
        <v>0.3402</v>
      </c>
      <c r="H55" s="70">
        <f t="shared" si="2"/>
        <v>0.30618</v>
      </c>
      <c r="I55" s="70">
        <f t="shared" si="3"/>
        <v>0.23814</v>
      </c>
      <c r="J55" s="71">
        <f t="shared" si="4"/>
        <v>0.27216</v>
      </c>
      <c r="K55" s="44">
        <f t="shared" si="5"/>
        <v>0.3024</v>
      </c>
      <c r="L55" s="70">
        <f t="shared" si="6"/>
        <v>0.27216</v>
      </c>
      <c r="M55" s="70">
        <f t="shared" si="7"/>
        <v>0.21167999999999998</v>
      </c>
      <c r="N55" s="71">
        <f t="shared" si="8"/>
        <v>0.24192000000000002</v>
      </c>
      <c r="O55" s="44">
        <f t="shared" si="9"/>
        <v>0.2646</v>
      </c>
      <c r="P55" s="70">
        <f t="shared" si="10"/>
        <v>0.23814000000000002</v>
      </c>
      <c r="Q55" s="70">
        <f t="shared" si="11"/>
        <v>0.18522</v>
      </c>
      <c r="R55" s="71">
        <f t="shared" si="12"/>
        <v>0.21168</v>
      </c>
      <c r="S55" s="44">
        <f t="shared" si="13"/>
        <v>0.2268</v>
      </c>
      <c r="T55" s="70">
        <f t="shared" si="14"/>
        <v>0.20412</v>
      </c>
      <c r="U55" s="70">
        <f t="shared" si="15"/>
        <v>0.15875999999999998</v>
      </c>
      <c r="V55" s="71">
        <f t="shared" si="16"/>
        <v>0.18144000000000002</v>
      </c>
      <c r="W55" s="44">
        <f t="shared" si="17"/>
        <v>0.189</v>
      </c>
      <c r="X55" s="70">
        <f t="shared" si="18"/>
        <v>0.1701</v>
      </c>
      <c r="Y55" s="70">
        <f t="shared" si="19"/>
        <v>0.1323</v>
      </c>
      <c r="Z55" s="71">
        <f t="shared" si="20"/>
        <v>0.1512</v>
      </c>
      <c r="AA55" s="44">
        <f t="shared" si="21"/>
        <v>0.1512</v>
      </c>
      <c r="AB55" s="70">
        <f t="shared" si="22"/>
        <v>0.13608</v>
      </c>
      <c r="AC55" s="70">
        <f t="shared" si="23"/>
        <v>0.10583999999999999</v>
      </c>
      <c r="AD55" s="71">
        <f t="shared" si="24"/>
        <v>0.12096000000000001</v>
      </c>
    </row>
    <row r="56" spans="1:30" s="63" customFormat="1" ht="11.25" customHeight="1" thickBot="1">
      <c r="A56" s="160" t="s">
        <v>1</v>
      </c>
      <c r="B56" s="160" t="s">
        <v>2</v>
      </c>
      <c r="C56" s="186" t="s">
        <v>3</v>
      </c>
      <c r="D56" s="199"/>
      <c r="E56" s="199"/>
      <c r="F56" s="199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1:31" s="73" customFormat="1" ht="22.5" customHeight="1">
      <c r="A57" s="195"/>
      <c r="B57" s="197"/>
      <c r="C57" s="200" t="s">
        <v>4</v>
      </c>
      <c r="D57" s="150" t="s">
        <v>151</v>
      </c>
      <c r="E57" s="150" t="s">
        <v>150</v>
      </c>
      <c r="F57" s="203" t="s">
        <v>113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63"/>
    </row>
    <row r="58" spans="1:31" s="73" customFormat="1" ht="31.5" customHeight="1" thickBot="1">
      <c r="A58" s="196"/>
      <c r="B58" s="198"/>
      <c r="C58" s="201"/>
      <c r="D58" s="202"/>
      <c r="E58" s="202"/>
      <c r="F58" s="204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63"/>
    </row>
    <row r="59" spans="1:15" s="48" customFormat="1" ht="26.25" customHeight="1" thickBot="1">
      <c r="A59" s="58">
        <v>7</v>
      </c>
      <c r="B59" s="140" t="s">
        <v>159</v>
      </c>
      <c r="C59" s="141"/>
      <c r="D59" s="141"/>
      <c r="E59" s="141"/>
      <c r="F59" s="205"/>
      <c r="G59" s="60"/>
      <c r="H59" s="72"/>
      <c r="I59" s="72"/>
      <c r="J59" s="72"/>
      <c r="K59" s="72"/>
      <c r="L59" s="72"/>
      <c r="M59" s="72"/>
      <c r="N59" s="72"/>
      <c r="O59" s="72"/>
    </row>
    <row r="60" spans="1:15" s="48" customFormat="1" ht="12.75">
      <c r="A60" s="58" t="s">
        <v>72</v>
      </c>
      <c r="B60" s="65" t="s">
        <v>95</v>
      </c>
      <c r="C60" s="45">
        <f>0.8*0.75</f>
        <v>0.6000000000000001</v>
      </c>
      <c r="D60" s="74">
        <f>C60*0.9</f>
        <v>0.5400000000000001</v>
      </c>
      <c r="E60" s="74">
        <f>C60*0.8</f>
        <v>0.4800000000000001</v>
      </c>
      <c r="F60" s="45">
        <f>0.8*0.75</f>
        <v>0.6000000000000001</v>
      </c>
      <c r="G60" s="60"/>
      <c r="H60" s="72"/>
      <c r="I60" s="72"/>
      <c r="J60" s="72"/>
      <c r="K60" s="72"/>
      <c r="L60" s="72"/>
      <c r="M60" s="72"/>
      <c r="N60" s="72"/>
      <c r="O60" s="72"/>
    </row>
    <row r="61" spans="1:15" s="48" customFormat="1" ht="22.5">
      <c r="A61" s="58" t="s">
        <v>73</v>
      </c>
      <c r="B61" s="65" t="s">
        <v>93</v>
      </c>
      <c r="C61" s="46">
        <f>0.9*0.75</f>
        <v>0.675</v>
      </c>
      <c r="D61" s="42">
        <f>C61*0.9</f>
        <v>0.6075</v>
      </c>
      <c r="E61" s="42">
        <f>C61*0.8</f>
        <v>0.54</v>
      </c>
      <c r="F61" s="46">
        <f>0.9*0.75</f>
        <v>0.675</v>
      </c>
      <c r="H61" s="72"/>
      <c r="I61" s="72"/>
      <c r="J61" s="72"/>
      <c r="K61" s="72"/>
      <c r="L61" s="72"/>
      <c r="M61" s="72"/>
      <c r="N61" s="72"/>
      <c r="O61" s="72"/>
    </row>
    <row r="62" spans="1:15" s="48" customFormat="1" ht="12.75">
      <c r="A62" s="58" t="s">
        <v>74</v>
      </c>
      <c r="B62" s="65" t="s">
        <v>112</v>
      </c>
      <c r="C62" s="46">
        <v>1</v>
      </c>
      <c r="D62" s="42">
        <v>1</v>
      </c>
      <c r="E62" s="42">
        <v>1</v>
      </c>
      <c r="F62" s="46">
        <v>1</v>
      </c>
      <c r="H62" s="72"/>
      <c r="I62" s="72"/>
      <c r="J62" s="72"/>
      <c r="K62" s="72"/>
      <c r="L62" s="72"/>
      <c r="M62" s="72"/>
      <c r="N62" s="72"/>
      <c r="O62" s="72"/>
    </row>
    <row r="63" spans="1:15" s="48" customFormat="1" ht="12.75">
      <c r="A63" s="58" t="s">
        <v>75</v>
      </c>
      <c r="B63" s="65" t="s">
        <v>96</v>
      </c>
      <c r="C63" s="46">
        <f>1*0.75</f>
        <v>0.75</v>
      </c>
      <c r="D63" s="42">
        <f aca="true" t="shared" si="28" ref="D63:D70">C63*0.9</f>
        <v>0.675</v>
      </c>
      <c r="E63" s="42">
        <f aca="true" t="shared" si="29" ref="E63:E70">C63*0.8</f>
        <v>0.6000000000000001</v>
      </c>
      <c r="F63" s="46">
        <f>1*0.75</f>
        <v>0.75</v>
      </c>
      <c r="H63" s="72"/>
      <c r="I63" s="72"/>
      <c r="J63" s="72"/>
      <c r="K63" s="72"/>
      <c r="L63" s="72"/>
      <c r="M63" s="72"/>
      <c r="N63" s="72"/>
      <c r="O63" s="72"/>
    </row>
    <row r="64" spans="1:6" s="48" customFormat="1" ht="12.75">
      <c r="A64" s="58" t="s">
        <v>76</v>
      </c>
      <c r="B64" s="65" t="s">
        <v>62</v>
      </c>
      <c r="C64" s="46">
        <f>1*0.75</f>
        <v>0.75</v>
      </c>
      <c r="D64" s="42">
        <f t="shared" si="28"/>
        <v>0.675</v>
      </c>
      <c r="E64" s="42">
        <f t="shared" si="29"/>
        <v>0.6000000000000001</v>
      </c>
      <c r="F64" s="46">
        <f>1*0.75</f>
        <v>0.75</v>
      </c>
    </row>
    <row r="65" spans="1:6" s="48" customFormat="1" ht="33.75">
      <c r="A65" s="58" t="s">
        <v>77</v>
      </c>
      <c r="B65" s="65" t="s">
        <v>97</v>
      </c>
      <c r="C65" s="46">
        <f>1*0.75</f>
        <v>0.75</v>
      </c>
      <c r="D65" s="42">
        <f t="shared" si="28"/>
        <v>0.675</v>
      </c>
      <c r="E65" s="42">
        <f t="shared" si="29"/>
        <v>0.6000000000000001</v>
      </c>
      <c r="F65" s="46">
        <f>1*0.75</f>
        <v>0.75</v>
      </c>
    </row>
    <row r="66" spans="1:6" s="48" customFormat="1" ht="12.75">
      <c r="A66" s="58" t="s">
        <v>78</v>
      </c>
      <c r="B66" s="65" t="s">
        <v>98</v>
      </c>
      <c r="C66" s="46">
        <f>1*0.75</f>
        <v>0.75</v>
      </c>
      <c r="D66" s="42">
        <f t="shared" si="28"/>
        <v>0.675</v>
      </c>
      <c r="E66" s="42">
        <f t="shared" si="29"/>
        <v>0.6000000000000001</v>
      </c>
      <c r="F66" s="46">
        <f>1*0.75</f>
        <v>0.75</v>
      </c>
    </row>
    <row r="67" spans="1:6" s="48" customFormat="1" ht="12.75">
      <c r="A67" s="58" t="s">
        <v>79</v>
      </c>
      <c r="B67" s="65" t="s">
        <v>66</v>
      </c>
      <c r="C67" s="46">
        <f>1*0.75</f>
        <v>0.75</v>
      </c>
      <c r="D67" s="42">
        <f t="shared" si="28"/>
        <v>0.675</v>
      </c>
      <c r="E67" s="42">
        <f t="shared" si="29"/>
        <v>0.6000000000000001</v>
      </c>
      <c r="F67" s="46">
        <f>1*0.75</f>
        <v>0.75</v>
      </c>
    </row>
    <row r="68" spans="1:6" s="48" customFormat="1" ht="12.75">
      <c r="A68" s="58" t="s">
        <v>80</v>
      </c>
      <c r="B68" s="65" t="s">
        <v>99</v>
      </c>
      <c r="C68" s="46">
        <f>0.24*2*0.75</f>
        <v>0.36</v>
      </c>
      <c r="D68" s="42">
        <f t="shared" si="28"/>
        <v>0.324</v>
      </c>
      <c r="E68" s="42">
        <f t="shared" si="29"/>
        <v>0.288</v>
      </c>
      <c r="F68" s="46">
        <f>0.24*2*0.75</f>
        <v>0.36</v>
      </c>
    </row>
    <row r="69" spans="1:6" s="48" customFormat="1" ht="13.5" customHeight="1">
      <c r="A69" s="58" t="s">
        <v>81</v>
      </c>
      <c r="B69" s="65" t="s">
        <v>70</v>
      </c>
      <c r="C69" s="46">
        <f>0.8*0.75</f>
        <v>0.6000000000000001</v>
      </c>
      <c r="D69" s="42">
        <f t="shared" si="28"/>
        <v>0.5400000000000001</v>
      </c>
      <c r="E69" s="42">
        <f t="shared" si="29"/>
        <v>0.4800000000000001</v>
      </c>
      <c r="F69" s="46">
        <f>0.8*0.75</f>
        <v>0.6000000000000001</v>
      </c>
    </row>
    <row r="70" spans="1:6" s="48" customFormat="1" ht="13.5" thickBot="1">
      <c r="A70" s="58" t="s">
        <v>82</v>
      </c>
      <c r="B70" s="65" t="s">
        <v>100</v>
      </c>
      <c r="C70" s="46">
        <f>1*0.75</f>
        <v>0.75</v>
      </c>
      <c r="D70" s="75">
        <f t="shared" si="28"/>
        <v>0.675</v>
      </c>
      <c r="E70" s="75">
        <f t="shared" si="29"/>
        <v>0.6000000000000001</v>
      </c>
      <c r="F70" s="46">
        <f>1*0.75</f>
        <v>0.75</v>
      </c>
    </row>
    <row r="71" spans="1:30" s="73" customFormat="1" ht="12" thickBot="1">
      <c r="A71" s="167" t="s">
        <v>48</v>
      </c>
      <c r="B71" s="168" t="s">
        <v>2</v>
      </c>
      <c r="C71" s="206" t="s">
        <v>3</v>
      </c>
      <c r="D71" s="207"/>
      <c r="E71" s="207"/>
      <c r="F71" s="207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</row>
    <row r="72" spans="1:36" s="73" customFormat="1" ht="24" customHeight="1">
      <c r="A72" s="167"/>
      <c r="B72" s="168"/>
      <c r="C72" s="173" t="s">
        <v>4</v>
      </c>
      <c r="D72" s="162" t="s">
        <v>118</v>
      </c>
      <c r="E72" s="150" t="s">
        <v>5</v>
      </c>
      <c r="F72" s="203" t="s">
        <v>113</v>
      </c>
      <c r="G72" s="173" t="s">
        <v>4</v>
      </c>
      <c r="H72" s="162" t="s">
        <v>118</v>
      </c>
      <c r="I72" s="150" t="s">
        <v>5</v>
      </c>
      <c r="J72" s="203" t="s">
        <v>113</v>
      </c>
      <c r="K72" s="173" t="s">
        <v>4</v>
      </c>
      <c r="L72" s="162" t="s">
        <v>118</v>
      </c>
      <c r="M72" s="150" t="s">
        <v>5</v>
      </c>
      <c r="N72" s="203" t="s">
        <v>113</v>
      </c>
      <c r="O72" s="173" t="s">
        <v>4</v>
      </c>
      <c r="P72" s="162" t="s">
        <v>118</v>
      </c>
      <c r="Q72" s="150" t="s">
        <v>5</v>
      </c>
      <c r="R72" s="203" t="s">
        <v>113</v>
      </c>
      <c r="S72" s="173" t="s">
        <v>4</v>
      </c>
      <c r="T72" s="162" t="s">
        <v>118</v>
      </c>
      <c r="U72" s="150" t="s">
        <v>5</v>
      </c>
      <c r="V72" s="203" t="s">
        <v>113</v>
      </c>
      <c r="W72" s="173" t="s">
        <v>4</v>
      </c>
      <c r="X72" s="162" t="s">
        <v>118</v>
      </c>
      <c r="Y72" s="150" t="s">
        <v>5</v>
      </c>
      <c r="Z72" s="203" t="s">
        <v>113</v>
      </c>
      <c r="AA72" s="173" t="s">
        <v>4</v>
      </c>
      <c r="AB72" s="162" t="s">
        <v>118</v>
      </c>
      <c r="AC72" s="150" t="s">
        <v>5</v>
      </c>
      <c r="AD72" s="203" t="s">
        <v>113</v>
      </c>
      <c r="AE72" s="211"/>
      <c r="AF72" s="63"/>
      <c r="AG72" s="63"/>
      <c r="AH72" s="63"/>
      <c r="AI72" s="63"/>
      <c r="AJ72" s="211"/>
    </row>
    <row r="73" spans="1:36" s="73" customFormat="1" ht="30" customHeight="1" thickBot="1">
      <c r="A73" s="167"/>
      <c r="B73" s="168"/>
      <c r="C73" s="180"/>
      <c r="D73" s="163"/>
      <c r="E73" s="209"/>
      <c r="F73" s="210"/>
      <c r="G73" s="180"/>
      <c r="H73" s="163"/>
      <c r="I73" s="209"/>
      <c r="J73" s="210"/>
      <c r="K73" s="180"/>
      <c r="L73" s="163"/>
      <c r="M73" s="209"/>
      <c r="N73" s="210"/>
      <c r="O73" s="180"/>
      <c r="P73" s="163"/>
      <c r="Q73" s="209"/>
      <c r="R73" s="210"/>
      <c r="S73" s="180"/>
      <c r="T73" s="163"/>
      <c r="U73" s="209"/>
      <c r="V73" s="210"/>
      <c r="W73" s="180"/>
      <c r="X73" s="163"/>
      <c r="Y73" s="209"/>
      <c r="Z73" s="210"/>
      <c r="AA73" s="180"/>
      <c r="AB73" s="163"/>
      <c r="AC73" s="209"/>
      <c r="AD73" s="210"/>
      <c r="AE73" s="211"/>
      <c r="AF73" s="63"/>
      <c r="AG73" s="63"/>
      <c r="AH73" s="63"/>
      <c r="AI73" s="63"/>
      <c r="AJ73" s="211"/>
    </row>
    <row r="74" spans="1:36" s="73" customFormat="1" ht="11.25" customHeight="1" thickBot="1">
      <c r="A74" s="167"/>
      <c r="B74" s="168"/>
      <c r="C74" s="214" t="s">
        <v>108</v>
      </c>
      <c r="D74" s="215"/>
      <c r="E74" s="215"/>
      <c r="F74" s="224"/>
      <c r="G74" s="214" t="s">
        <v>50</v>
      </c>
      <c r="H74" s="215"/>
      <c r="I74" s="215"/>
      <c r="J74" s="215"/>
      <c r="K74" s="212" t="s">
        <v>51</v>
      </c>
      <c r="L74" s="199"/>
      <c r="M74" s="199"/>
      <c r="N74" s="213"/>
      <c r="O74" s="212" t="s">
        <v>52</v>
      </c>
      <c r="P74" s="199"/>
      <c r="Q74" s="199"/>
      <c r="R74" s="213"/>
      <c r="S74" s="212" t="s">
        <v>53</v>
      </c>
      <c r="T74" s="199"/>
      <c r="U74" s="199"/>
      <c r="V74" s="213"/>
      <c r="W74" s="212" t="s">
        <v>54</v>
      </c>
      <c r="X74" s="199"/>
      <c r="Y74" s="199"/>
      <c r="Z74" s="213"/>
      <c r="AA74" s="212" t="s">
        <v>55</v>
      </c>
      <c r="AB74" s="199"/>
      <c r="AC74" s="199"/>
      <c r="AD74" s="213"/>
      <c r="AE74" s="76"/>
      <c r="AF74" s="63"/>
      <c r="AG74" s="63"/>
      <c r="AH74" s="63"/>
      <c r="AI74" s="63"/>
      <c r="AJ74" s="76"/>
    </row>
    <row r="75" spans="1:36" s="73" customFormat="1" ht="16.5" customHeight="1" thickBot="1">
      <c r="A75" s="58">
        <v>8</v>
      </c>
      <c r="B75" s="138" t="s">
        <v>162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54"/>
      <c r="W75" s="54"/>
      <c r="X75" s="54"/>
      <c r="Y75" s="54"/>
      <c r="Z75" s="54"/>
      <c r="AA75" s="54"/>
      <c r="AB75" s="54"/>
      <c r="AC75" s="54"/>
      <c r="AD75" s="64"/>
      <c r="AE75" s="54"/>
      <c r="AF75" s="63"/>
      <c r="AG75" s="63"/>
      <c r="AH75" s="63"/>
      <c r="AI75" s="63"/>
      <c r="AJ75" s="54"/>
    </row>
    <row r="76" spans="1:36" s="73" customFormat="1" ht="11.25">
      <c r="A76" s="58" t="s">
        <v>160</v>
      </c>
      <c r="B76" s="77" t="s">
        <v>85</v>
      </c>
      <c r="C76" s="52">
        <f>0.9*0.75*0.8</f>
        <v>0.54</v>
      </c>
      <c r="D76" s="78">
        <f>0.85*0.75*0.8</f>
        <v>0.51</v>
      </c>
      <c r="E76" s="78">
        <f>0.8*0.75*0.8</f>
        <v>0.4800000000000001</v>
      </c>
      <c r="F76" s="79">
        <f>0.9*0.75</f>
        <v>0.675</v>
      </c>
      <c r="G76" s="52">
        <f aca="true" t="shared" si="30" ref="G76:I77">C76*0.9</f>
        <v>0.48600000000000004</v>
      </c>
      <c r="H76" s="78">
        <f t="shared" si="30"/>
        <v>0.459</v>
      </c>
      <c r="I76" s="78">
        <f t="shared" si="30"/>
        <v>0.4320000000000001</v>
      </c>
      <c r="J76" s="79">
        <f>0.9*0.75</f>
        <v>0.675</v>
      </c>
      <c r="K76" s="52">
        <f aca="true" t="shared" si="31" ref="K76:M77">C76*0.8</f>
        <v>0.43200000000000005</v>
      </c>
      <c r="L76" s="78">
        <f t="shared" si="31"/>
        <v>0.40800000000000003</v>
      </c>
      <c r="M76" s="78">
        <f t="shared" si="31"/>
        <v>0.3840000000000001</v>
      </c>
      <c r="N76" s="79">
        <f>0.9*0.75</f>
        <v>0.675</v>
      </c>
      <c r="O76" s="52">
        <f aca="true" t="shared" si="32" ref="O76:Q77">C76*0.7</f>
        <v>0.378</v>
      </c>
      <c r="P76" s="78">
        <f t="shared" si="32"/>
        <v>0.357</v>
      </c>
      <c r="Q76" s="78">
        <f t="shared" si="32"/>
        <v>0.336</v>
      </c>
      <c r="R76" s="79">
        <f>0.9*0.75</f>
        <v>0.675</v>
      </c>
      <c r="S76" s="52">
        <f aca="true" t="shared" si="33" ref="S76:U77">C76*0.6</f>
        <v>0.324</v>
      </c>
      <c r="T76" s="78">
        <f t="shared" si="33"/>
        <v>0.306</v>
      </c>
      <c r="U76" s="78">
        <f t="shared" si="33"/>
        <v>0.28800000000000003</v>
      </c>
      <c r="V76" s="79">
        <f>0.9*0.75</f>
        <v>0.675</v>
      </c>
      <c r="W76" s="52">
        <f aca="true" t="shared" si="34" ref="W76:Y77">C76*0.5</f>
        <v>0.27</v>
      </c>
      <c r="X76" s="78">
        <f t="shared" si="34"/>
        <v>0.255</v>
      </c>
      <c r="Y76" s="78">
        <f t="shared" si="34"/>
        <v>0.24000000000000005</v>
      </c>
      <c r="Z76" s="79">
        <f>0.9*0.75</f>
        <v>0.675</v>
      </c>
      <c r="AA76" s="52">
        <f aca="true" t="shared" si="35" ref="AA76:AC77">C76*0.4</f>
        <v>0.21600000000000003</v>
      </c>
      <c r="AB76" s="78">
        <f t="shared" si="35"/>
        <v>0.20400000000000001</v>
      </c>
      <c r="AC76" s="78">
        <f t="shared" si="35"/>
        <v>0.19200000000000006</v>
      </c>
      <c r="AD76" s="79">
        <f>0.9*0.75</f>
        <v>0.675</v>
      </c>
      <c r="AE76" s="72"/>
      <c r="AF76" s="63"/>
      <c r="AG76" s="63"/>
      <c r="AH76" s="63"/>
      <c r="AI76" s="63"/>
      <c r="AJ76" s="72"/>
    </row>
    <row r="77" spans="1:36" s="73" customFormat="1" ht="12" thickBot="1">
      <c r="A77" s="58" t="s">
        <v>161</v>
      </c>
      <c r="B77" s="65" t="s">
        <v>86</v>
      </c>
      <c r="C77" s="47">
        <f>0.65*0.75*0.8</f>
        <v>0.39000000000000007</v>
      </c>
      <c r="D77" s="80">
        <f>0.58*0.75*0.8</f>
        <v>0.348</v>
      </c>
      <c r="E77" s="80">
        <f>0.51*0.75*0.8</f>
        <v>0.30600000000000005</v>
      </c>
      <c r="F77" s="81">
        <f>0.7*0.75</f>
        <v>0.5249999999999999</v>
      </c>
      <c r="G77" s="47">
        <f t="shared" si="30"/>
        <v>0.3510000000000001</v>
      </c>
      <c r="H77" s="80">
        <f t="shared" si="30"/>
        <v>0.3132</v>
      </c>
      <c r="I77" s="80">
        <f t="shared" si="30"/>
        <v>0.27540000000000003</v>
      </c>
      <c r="J77" s="81">
        <f>0.7*0.75</f>
        <v>0.5249999999999999</v>
      </c>
      <c r="K77" s="47">
        <f t="shared" si="31"/>
        <v>0.31200000000000006</v>
      </c>
      <c r="L77" s="80">
        <f t="shared" si="31"/>
        <v>0.2784</v>
      </c>
      <c r="M77" s="80">
        <f t="shared" si="31"/>
        <v>0.24480000000000005</v>
      </c>
      <c r="N77" s="81">
        <f>0.7*0.75</f>
        <v>0.5249999999999999</v>
      </c>
      <c r="O77" s="47">
        <f t="shared" si="32"/>
        <v>0.273</v>
      </c>
      <c r="P77" s="80">
        <f t="shared" si="32"/>
        <v>0.24359999999999996</v>
      </c>
      <c r="Q77" s="80">
        <f t="shared" si="32"/>
        <v>0.21420000000000003</v>
      </c>
      <c r="R77" s="81">
        <f>0.7*0.75</f>
        <v>0.5249999999999999</v>
      </c>
      <c r="S77" s="47">
        <f t="shared" si="33"/>
        <v>0.23400000000000004</v>
      </c>
      <c r="T77" s="80">
        <f t="shared" si="33"/>
        <v>0.20879999999999999</v>
      </c>
      <c r="U77" s="80">
        <f t="shared" si="33"/>
        <v>0.1836</v>
      </c>
      <c r="V77" s="81">
        <f>0.7*0.75</f>
        <v>0.5249999999999999</v>
      </c>
      <c r="W77" s="47">
        <f t="shared" si="34"/>
        <v>0.19500000000000003</v>
      </c>
      <c r="X77" s="80">
        <f t="shared" si="34"/>
        <v>0.174</v>
      </c>
      <c r="Y77" s="80">
        <f t="shared" si="34"/>
        <v>0.15300000000000002</v>
      </c>
      <c r="Z77" s="81">
        <f>0.7*0.75</f>
        <v>0.5249999999999999</v>
      </c>
      <c r="AA77" s="47">
        <f t="shared" si="35"/>
        <v>0.15600000000000003</v>
      </c>
      <c r="AB77" s="80">
        <f t="shared" si="35"/>
        <v>0.1392</v>
      </c>
      <c r="AC77" s="80">
        <f t="shared" si="35"/>
        <v>0.12240000000000002</v>
      </c>
      <c r="AD77" s="81">
        <f>0.7*0.75</f>
        <v>0.5249999999999999</v>
      </c>
      <c r="AE77" s="72"/>
      <c r="AF77" s="63"/>
      <c r="AG77" s="63"/>
      <c r="AH77" s="63"/>
      <c r="AI77" s="63"/>
      <c r="AJ77" s="72"/>
    </row>
    <row r="78" spans="1:30" s="48" customFormat="1" ht="12.75" customHeight="1" thickBot="1">
      <c r="A78" s="158" t="s">
        <v>1</v>
      </c>
      <c r="B78" s="158" t="s">
        <v>2</v>
      </c>
      <c r="C78" s="218" t="s">
        <v>3</v>
      </c>
      <c r="D78" s="219"/>
      <c r="E78" s="219"/>
      <c r="F78" s="220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</row>
    <row r="79" spans="1:30" s="48" customFormat="1" ht="24" customHeight="1">
      <c r="A79" s="216"/>
      <c r="B79" s="217"/>
      <c r="C79" s="221" t="s">
        <v>4</v>
      </c>
      <c r="D79" s="150" t="s">
        <v>118</v>
      </c>
      <c r="E79" s="162" t="s">
        <v>5</v>
      </c>
      <c r="F79" s="203" t="s">
        <v>113</v>
      </c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</row>
    <row r="80" spans="1:30" s="48" customFormat="1" ht="30" customHeight="1" thickBot="1">
      <c r="A80" s="216"/>
      <c r="B80" s="217"/>
      <c r="C80" s="222"/>
      <c r="D80" s="209"/>
      <c r="E80" s="223"/>
      <c r="F80" s="210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 t="s">
        <v>149</v>
      </c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</row>
    <row r="81" spans="1:6" s="48" customFormat="1" ht="24.75" customHeight="1" thickBot="1">
      <c r="A81" s="58">
        <v>9</v>
      </c>
      <c r="B81" s="225" t="s">
        <v>163</v>
      </c>
      <c r="C81" s="141"/>
      <c r="D81" s="141"/>
      <c r="E81" s="141"/>
      <c r="F81" s="205"/>
    </row>
    <row r="82" spans="1:6" s="48" customFormat="1" ht="12.75">
      <c r="A82" s="58" t="s">
        <v>84</v>
      </c>
      <c r="B82" s="65" t="s">
        <v>85</v>
      </c>
      <c r="C82" s="45">
        <f>0.32*2*0.75</f>
        <v>0.48</v>
      </c>
      <c r="D82" s="82">
        <f>C82*0.9</f>
        <v>0.432</v>
      </c>
      <c r="E82" s="74">
        <f>C82*0.8</f>
        <v>0.384</v>
      </c>
      <c r="F82" s="83">
        <f>0.9*0.75</f>
        <v>0.675</v>
      </c>
    </row>
    <row r="83" spans="1:6" s="48" customFormat="1" ht="12.75">
      <c r="A83" s="84" t="s">
        <v>111</v>
      </c>
      <c r="B83" s="65" t="s">
        <v>86</v>
      </c>
      <c r="C83" s="46">
        <f>0.24*2*0.75</f>
        <v>0.36</v>
      </c>
      <c r="D83" s="62">
        <f>C83*0.9</f>
        <v>0.324</v>
      </c>
      <c r="E83" s="42">
        <f>C83*0.8</f>
        <v>0.288</v>
      </c>
      <c r="F83" s="85">
        <f>0.8*0.75</f>
        <v>0.6000000000000001</v>
      </c>
    </row>
    <row r="84" spans="1:6" s="48" customFormat="1" ht="22.5">
      <c r="A84" s="58">
        <v>10</v>
      </c>
      <c r="B84" s="65" t="s">
        <v>164</v>
      </c>
      <c r="C84" s="46">
        <f>0.1*2*0.75</f>
        <v>0.15000000000000002</v>
      </c>
      <c r="D84" s="62">
        <f>C84*0.9</f>
        <v>0.13500000000000004</v>
      </c>
      <c r="E84" s="42">
        <f>C84*0.8</f>
        <v>0.12000000000000002</v>
      </c>
      <c r="F84" s="53">
        <f>0.8*0.75</f>
        <v>0.6000000000000001</v>
      </c>
    </row>
    <row r="85" spans="1:6" s="48" customFormat="1" ht="23.25" thickBot="1">
      <c r="A85" s="58">
        <v>11</v>
      </c>
      <c r="B85" s="65" t="s">
        <v>156</v>
      </c>
      <c r="C85" s="226">
        <v>0.6</v>
      </c>
      <c r="D85" s="227"/>
      <c r="E85" s="227"/>
      <c r="F85" s="228"/>
    </row>
    <row r="86" spans="1:30" s="73" customFormat="1" ht="13.5" thickBot="1">
      <c r="A86" s="167" t="s">
        <v>48</v>
      </c>
      <c r="B86" s="167" t="s">
        <v>2</v>
      </c>
      <c r="C86" s="218" t="s">
        <v>3</v>
      </c>
      <c r="D86" s="219"/>
      <c r="E86" s="219"/>
      <c r="F86" s="220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7"/>
    </row>
    <row r="87" spans="1:38" s="73" customFormat="1" ht="24" customHeight="1">
      <c r="A87" s="167"/>
      <c r="B87" s="168"/>
      <c r="C87" s="221" t="s">
        <v>4</v>
      </c>
      <c r="D87" s="150" t="s">
        <v>94</v>
      </c>
      <c r="E87" s="150" t="s">
        <v>5</v>
      </c>
      <c r="F87" s="203" t="s">
        <v>113</v>
      </c>
      <c r="G87" s="221" t="s">
        <v>4</v>
      </c>
      <c r="H87" s="150" t="s">
        <v>94</v>
      </c>
      <c r="I87" s="150" t="s">
        <v>5</v>
      </c>
      <c r="J87" s="203" t="s">
        <v>115</v>
      </c>
      <c r="K87" s="221" t="s">
        <v>4</v>
      </c>
      <c r="L87" s="150" t="s">
        <v>94</v>
      </c>
      <c r="M87" s="150" t="s">
        <v>5</v>
      </c>
      <c r="N87" s="203" t="s">
        <v>115</v>
      </c>
      <c r="O87" s="221" t="s">
        <v>4</v>
      </c>
      <c r="P87" s="150" t="s">
        <v>94</v>
      </c>
      <c r="Q87" s="150" t="s">
        <v>5</v>
      </c>
      <c r="R87" s="203" t="s">
        <v>115</v>
      </c>
      <c r="S87" s="221" t="s">
        <v>4</v>
      </c>
      <c r="T87" s="150" t="s">
        <v>94</v>
      </c>
      <c r="U87" s="150" t="s">
        <v>5</v>
      </c>
      <c r="V87" s="203" t="s">
        <v>115</v>
      </c>
      <c r="W87" s="221" t="s">
        <v>4</v>
      </c>
      <c r="X87" s="150" t="s">
        <v>94</v>
      </c>
      <c r="Y87" s="150" t="s">
        <v>5</v>
      </c>
      <c r="Z87" s="203" t="s">
        <v>115</v>
      </c>
      <c r="AA87" s="221" t="s">
        <v>4</v>
      </c>
      <c r="AB87" s="150" t="s">
        <v>94</v>
      </c>
      <c r="AC87" s="231" t="s">
        <v>5</v>
      </c>
      <c r="AD87" s="234" t="s">
        <v>115</v>
      </c>
      <c r="AH87" s="211"/>
      <c r="AI87" s="211"/>
      <c r="AJ87" s="211"/>
      <c r="AK87" s="211"/>
      <c r="AL87" s="139"/>
    </row>
    <row r="88" spans="1:38" s="73" customFormat="1" ht="30" customHeight="1" thickBot="1">
      <c r="A88" s="167"/>
      <c r="B88" s="168"/>
      <c r="C88" s="222"/>
      <c r="D88" s="209"/>
      <c r="E88" s="230"/>
      <c r="F88" s="210"/>
      <c r="G88" s="222"/>
      <c r="H88" s="209"/>
      <c r="I88" s="230"/>
      <c r="J88" s="210"/>
      <c r="K88" s="222"/>
      <c r="L88" s="209"/>
      <c r="M88" s="230"/>
      <c r="N88" s="210"/>
      <c r="O88" s="222"/>
      <c r="P88" s="209"/>
      <c r="Q88" s="230"/>
      <c r="R88" s="210"/>
      <c r="S88" s="222"/>
      <c r="T88" s="209"/>
      <c r="U88" s="230"/>
      <c r="V88" s="210"/>
      <c r="W88" s="222"/>
      <c r="X88" s="209"/>
      <c r="Y88" s="230"/>
      <c r="Z88" s="210"/>
      <c r="AA88" s="222"/>
      <c r="AB88" s="209"/>
      <c r="AC88" s="232"/>
      <c r="AD88" s="235"/>
      <c r="AH88" s="233"/>
      <c r="AI88" s="211"/>
      <c r="AJ88" s="211"/>
      <c r="AK88" s="157"/>
      <c r="AL88" s="139"/>
    </row>
    <row r="89" spans="1:38" s="73" customFormat="1" ht="11.25" customHeight="1" thickBot="1">
      <c r="A89" s="167"/>
      <c r="B89" s="229"/>
      <c r="C89" s="212" t="s">
        <v>101</v>
      </c>
      <c r="D89" s="199"/>
      <c r="E89" s="199"/>
      <c r="F89" s="213"/>
      <c r="G89" s="212" t="s">
        <v>102</v>
      </c>
      <c r="H89" s="199"/>
      <c r="I89" s="199"/>
      <c r="J89" s="213"/>
      <c r="K89" s="212" t="s">
        <v>103</v>
      </c>
      <c r="L89" s="199"/>
      <c r="M89" s="199"/>
      <c r="N89" s="213"/>
      <c r="O89" s="212" t="s">
        <v>104</v>
      </c>
      <c r="P89" s="199"/>
      <c r="Q89" s="199"/>
      <c r="R89" s="213"/>
      <c r="S89" s="212" t="s">
        <v>105</v>
      </c>
      <c r="T89" s="199"/>
      <c r="U89" s="199"/>
      <c r="V89" s="213"/>
      <c r="W89" s="212" t="s">
        <v>106</v>
      </c>
      <c r="X89" s="199"/>
      <c r="Y89" s="199"/>
      <c r="Z89" s="213"/>
      <c r="AA89" s="212" t="s">
        <v>107</v>
      </c>
      <c r="AB89" s="199"/>
      <c r="AC89" s="199"/>
      <c r="AD89" s="213"/>
      <c r="AH89" s="211"/>
      <c r="AI89" s="211"/>
      <c r="AJ89" s="211"/>
      <c r="AK89" s="211"/>
      <c r="AL89" s="211"/>
    </row>
    <row r="90" spans="1:38" s="48" customFormat="1" ht="13.5" customHeight="1" thickBot="1">
      <c r="A90" s="58">
        <v>12</v>
      </c>
      <c r="B90" s="140" t="s">
        <v>165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54"/>
      <c r="AB90" s="54"/>
      <c r="AC90" s="54"/>
      <c r="AD90" s="88"/>
      <c r="AH90" s="54"/>
      <c r="AI90" s="54"/>
      <c r="AJ90" s="54"/>
      <c r="AK90" s="54"/>
      <c r="AL90" s="54"/>
    </row>
    <row r="91" spans="1:38" s="48" customFormat="1" ht="12.75">
      <c r="A91" s="58" t="s">
        <v>166</v>
      </c>
      <c r="B91" s="77" t="s">
        <v>110</v>
      </c>
      <c r="C91" s="45">
        <v>0.45</v>
      </c>
      <c r="D91" s="74">
        <f>C91*0.9</f>
        <v>0.405</v>
      </c>
      <c r="E91" s="74">
        <f>C91*0.8</f>
        <v>0.36000000000000004</v>
      </c>
      <c r="F91" s="89"/>
      <c r="G91" s="90">
        <f>C91*0.9</f>
        <v>0.405</v>
      </c>
      <c r="H91" s="74">
        <f>G91*0.9</f>
        <v>0.36450000000000005</v>
      </c>
      <c r="I91" s="74">
        <f>G91*0.8</f>
        <v>0.32400000000000007</v>
      </c>
      <c r="J91" s="91"/>
      <c r="K91" s="90">
        <f>C91*0.8</f>
        <v>0.36000000000000004</v>
      </c>
      <c r="L91" s="74">
        <f>K91*0.9</f>
        <v>0.32400000000000007</v>
      </c>
      <c r="M91" s="74">
        <f>K91*0.8</f>
        <v>0.28800000000000003</v>
      </c>
      <c r="N91" s="91"/>
      <c r="O91" s="90">
        <v>0</v>
      </c>
      <c r="P91" s="92">
        <v>0</v>
      </c>
      <c r="Q91" s="92">
        <v>0</v>
      </c>
      <c r="R91" s="93">
        <v>0</v>
      </c>
      <c r="S91" s="90">
        <v>0</v>
      </c>
      <c r="T91" s="92">
        <v>0</v>
      </c>
      <c r="U91" s="92">
        <v>0</v>
      </c>
      <c r="V91" s="93">
        <v>0</v>
      </c>
      <c r="W91" s="90">
        <v>0</v>
      </c>
      <c r="X91" s="92">
        <v>0</v>
      </c>
      <c r="Y91" s="92">
        <v>0</v>
      </c>
      <c r="Z91" s="93">
        <v>0</v>
      </c>
      <c r="AA91" s="90">
        <v>0</v>
      </c>
      <c r="AB91" s="92">
        <v>0</v>
      </c>
      <c r="AC91" s="94">
        <v>0</v>
      </c>
      <c r="AD91" s="93">
        <v>0</v>
      </c>
      <c r="AH91" s="60"/>
      <c r="AI91" s="60"/>
      <c r="AJ91" s="60"/>
      <c r="AK91" s="60"/>
      <c r="AL91" s="60"/>
    </row>
    <row r="92" spans="1:38" s="48" customFormat="1" ht="12.75">
      <c r="A92" s="58" t="s">
        <v>167</v>
      </c>
      <c r="B92" s="65" t="s">
        <v>91</v>
      </c>
      <c r="C92" s="46">
        <f>0.8*0.75</f>
        <v>0.6000000000000001</v>
      </c>
      <c r="D92" s="46">
        <f>0.8*0.75</f>
        <v>0.6000000000000001</v>
      </c>
      <c r="E92" s="46">
        <f>0.8*0.75</f>
        <v>0.6000000000000001</v>
      </c>
      <c r="F92" s="46">
        <f>0.8*0.75</f>
        <v>0.6000000000000001</v>
      </c>
      <c r="G92" s="46">
        <f>C92*0.9</f>
        <v>0.5400000000000001</v>
      </c>
      <c r="H92" s="42">
        <f>D92*0.9</f>
        <v>0.5400000000000001</v>
      </c>
      <c r="I92" s="42">
        <f>E92*0.9</f>
        <v>0.5400000000000001</v>
      </c>
      <c r="J92" s="85">
        <v>0.6</v>
      </c>
      <c r="K92" s="95">
        <f>C92*0.8</f>
        <v>0.4800000000000001</v>
      </c>
      <c r="L92" s="96">
        <f>D92*0.8</f>
        <v>0.4800000000000001</v>
      </c>
      <c r="M92" s="96">
        <f>E92*0.8</f>
        <v>0.4800000000000001</v>
      </c>
      <c r="N92" s="85">
        <v>0.6</v>
      </c>
      <c r="O92" s="97">
        <f>0.7*0.75</f>
        <v>0.5249999999999999</v>
      </c>
      <c r="P92" s="49">
        <v>0.53</v>
      </c>
      <c r="Q92" s="49">
        <v>0.53</v>
      </c>
      <c r="R92" s="85">
        <v>0.6</v>
      </c>
      <c r="S92" s="97">
        <f>0.6*0.75</f>
        <v>0.44999999999999996</v>
      </c>
      <c r="T92" s="49">
        <v>0.45</v>
      </c>
      <c r="U92" s="49">
        <v>0.45</v>
      </c>
      <c r="V92" s="85">
        <v>0.6</v>
      </c>
      <c r="W92" s="97">
        <f>0.5*0.75</f>
        <v>0.375</v>
      </c>
      <c r="X92" s="49">
        <v>0.38</v>
      </c>
      <c r="Y92" s="49">
        <v>0.38</v>
      </c>
      <c r="Z92" s="85">
        <v>0.6</v>
      </c>
      <c r="AA92" s="97">
        <f>0.4*0.75</f>
        <v>0.30000000000000004</v>
      </c>
      <c r="AB92" s="97">
        <f>0.4*0.75</f>
        <v>0.30000000000000004</v>
      </c>
      <c r="AC92" s="98">
        <f>0.5*0.75</f>
        <v>0.375</v>
      </c>
      <c r="AD92" s="85">
        <v>0.6</v>
      </c>
      <c r="AH92" s="60"/>
      <c r="AI92" s="60"/>
      <c r="AJ92" s="60"/>
      <c r="AK92" s="60"/>
      <c r="AL92" s="60"/>
    </row>
    <row r="93" spans="1:38" s="48" customFormat="1" ht="23.25" thickBot="1">
      <c r="A93" s="58" t="s">
        <v>168</v>
      </c>
      <c r="B93" s="65" t="s">
        <v>92</v>
      </c>
      <c r="C93" s="226">
        <f>0.9*0.75</f>
        <v>0.675</v>
      </c>
      <c r="D93" s="227"/>
      <c r="E93" s="227"/>
      <c r="F93" s="228"/>
      <c r="G93" s="226">
        <f>0.9*0.75</f>
        <v>0.675</v>
      </c>
      <c r="H93" s="227"/>
      <c r="I93" s="227"/>
      <c r="J93" s="228"/>
      <c r="K93" s="226">
        <f>0.9*0.75</f>
        <v>0.675</v>
      </c>
      <c r="L93" s="227"/>
      <c r="M93" s="227"/>
      <c r="N93" s="228"/>
      <c r="O93" s="226">
        <f>0.9*0.75</f>
        <v>0.675</v>
      </c>
      <c r="P93" s="227"/>
      <c r="Q93" s="227"/>
      <c r="R93" s="228"/>
      <c r="S93" s="226">
        <f>0.9*0.75</f>
        <v>0.675</v>
      </c>
      <c r="T93" s="227"/>
      <c r="U93" s="227"/>
      <c r="V93" s="228"/>
      <c r="W93" s="226">
        <f>0.9*0.75</f>
        <v>0.675</v>
      </c>
      <c r="X93" s="227"/>
      <c r="Y93" s="227"/>
      <c r="Z93" s="228"/>
      <c r="AA93" s="226">
        <f>0.9*0.75</f>
        <v>0.675</v>
      </c>
      <c r="AB93" s="227"/>
      <c r="AC93" s="227"/>
      <c r="AD93" s="228"/>
      <c r="AH93" s="60"/>
      <c r="AI93" s="60"/>
      <c r="AJ93" s="60"/>
      <c r="AK93" s="60"/>
      <c r="AL93" s="60"/>
    </row>
    <row r="94" spans="1:6" s="48" customFormat="1" ht="67.5">
      <c r="A94" s="58">
        <v>13</v>
      </c>
      <c r="B94" s="59" t="s">
        <v>169</v>
      </c>
      <c r="C94" s="51">
        <f>1*0.75</f>
        <v>0.75</v>
      </c>
      <c r="D94" s="51">
        <f aca="true" t="shared" si="36" ref="D94:F95">1*0.75</f>
        <v>0.75</v>
      </c>
      <c r="E94" s="51">
        <f t="shared" si="36"/>
        <v>0.75</v>
      </c>
      <c r="F94" s="51">
        <f t="shared" si="36"/>
        <v>0.75</v>
      </c>
    </row>
    <row r="95" spans="1:6" s="48" customFormat="1" ht="45">
      <c r="A95" s="58">
        <v>14</v>
      </c>
      <c r="B95" s="59" t="s">
        <v>109</v>
      </c>
      <c r="C95" s="51">
        <f>1*0.75</f>
        <v>0.75</v>
      </c>
      <c r="D95" s="51">
        <f t="shared" si="36"/>
        <v>0.75</v>
      </c>
      <c r="E95" s="51">
        <f t="shared" si="36"/>
        <v>0.75</v>
      </c>
      <c r="F95" s="51">
        <f t="shared" si="36"/>
        <v>0.75</v>
      </c>
    </row>
    <row r="96" s="41" customFormat="1" ht="12.75">
      <c r="H96" s="41" t="s">
        <v>114</v>
      </c>
    </row>
    <row r="105" ht="12.75">
      <c r="G105" t="s">
        <v>116</v>
      </c>
    </row>
  </sheetData>
  <sheetProtection/>
  <mergeCells count="170">
    <mergeCell ref="AA93:AD93"/>
    <mergeCell ref="G89:J89"/>
    <mergeCell ref="K89:N89"/>
    <mergeCell ref="C93:F93"/>
    <mergeCell ref="G93:J93"/>
    <mergeCell ref="K93:N93"/>
    <mergeCell ref="O93:R93"/>
    <mergeCell ref="S93:V93"/>
    <mergeCell ref="W93:Z93"/>
    <mergeCell ref="O89:R89"/>
    <mergeCell ref="AJ87:AJ88"/>
    <mergeCell ref="AK87:AK88"/>
    <mergeCell ref="AH89:AL89"/>
    <mergeCell ref="AL87:AL88"/>
    <mergeCell ref="AH87:AH88"/>
    <mergeCell ref="AD87:AD88"/>
    <mergeCell ref="AI87:AI88"/>
    <mergeCell ref="Z87:Z88"/>
    <mergeCell ref="AA87:AA88"/>
    <mergeCell ref="AB87:AB88"/>
    <mergeCell ref="S89:V89"/>
    <mergeCell ref="W89:Z89"/>
    <mergeCell ref="AA89:AD89"/>
    <mergeCell ref="W87:W88"/>
    <mergeCell ref="N87:N88"/>
    <mergeCell ref="O87:O88"/>
    <mergeCell ref="P87:P88"/>
    <mergeCell ref="AC87:AC88"/>
    <mergeCell ref="S87:S88"/>
    <mergeCell ref="T87:T88"/>
    <mergeCell ref="U87:U88"/>
    <mergeCell ref="V87:V88"/>
    <mergeCell ref="X87:X88"/>
    <mergeCell ref="Y87:Y88"/>
    <mergeCell ref="C89:F89"/>
    <mergeCell ref="Q87:Q88"/>
    <mergeCell ref="R87:R88"/>
    <mergeCell ref="G87:G88"/>
    <mergeCell ref="H87:H88"/>
    <mergeCell ref="I87:I88"/>
    <mergeCell ref="J87:J88"/>
    <mergeCell ref="K87:K88"/>
    <mergeCell ref="L87:L88"/>
    <mergeCell ref="M87:M88"/>
    <mergeCell ref="C74:F74"/>
    <mergeCell ref="B81:F81"/>
    <mergeCell ref="C85:F85"/>
    <mergeCell ref="A86:A89"/>
    <mergeCell ref="B86:B89"/>
    <mergeCell ref="C86:F86"/>
    <mergeCell ref="C87:C88"/>
    <mergeCell ref="D87:D88"/>
    <mergeCell ref="E87:E88"/>
    <mergeCell ref="F87:F88"/>
    <mergeCell ref="A78:A80"/>
    <mergeCell ref="B78:B80"/>
    <mergeCell ref="C78:F78"/>
    <mergeCell ref="C79:C80"/>
    <mergeCell ref="D79:D80"/>
    <mergeCell ref="E79:E80"/>
    <mergeCell ref="F79:F80"/>
    <mergeCell ref="G74:J74"/>
    <mergeCell ref="K74:N74"/>
    <mergeCell ref="O74:R74"/>
    <mergeCell ref="S74:V74"/>
    <mergeCell ref="W74:Z74"/>
    <mergeCell ref="AA72:AA73"/>
    <mergeCell ref="Z72:Z73"/>
    <mergeCell ref="O72:O73"/>
    <mergeCell ref="P72:P73"/>
    <mergeCell ref="Q72:Q73"/>
    <mergeCell ref="R72:R73"/>
    <mergeCell ref="S72:S73"/>
    <mergeCell ref="T72:T73"/>
    <mergeCell ref="AA74:AD74"/>
    <mergeCell ref="AJ72:AJ73"/>
    <mergeCell ref="U72:U73"/>
    <mergeCell ref="V72:V73"/>
    <mergeCell ref="W72:W73"/>
    <mergeCell ref="X72:X73"/>
    <mergeCell ref="Y72:Y73"/>
    <mergeCell ref="AB72:AB73"/>
    <mergeCell ref="AC72:AC73"/>
    <mergeCell ref="AD72:AD73"/>
    <mergeCell ref="AE72:AE73"/>
    <mergeCell ref="I72:I73"/>
    <mergeCell ref="J72:J73"/>
    <mergeCell ref="K72:K73"/>
    <mergeCell ref="L72:L73"/>
    <mergeCell ref="M72:M73"/>
    <mergeCell ref="N72:N73"/>
    <mergeCell ref="B59:F59"/>
    <mergeCell ref="A71:A74"/>
    <mergeCell ref="B71:B74"/>
    <mergeCell ref="C71:AD71"/>
    <mergeCell ref="C72:C73"/>
    <mergeCell ref="D72:D73"/>
    <mergeCell ref="E72:E73"/>
    <mergeCell ref="F72:F73"/>
    <mergeCell ref="G72:G73"/>
    <mergeCell ref="H72:H73"/>
    <mergeCell ref="A56:A58"/>
    <mergeCell ref="B56:B58"/>
    <mergeCell ref="C56:F56"/>
    <mergeCell ref="C57:C58"/>
    <mergeCell ref="D57:D58"/>
    <mergeCell ref="E57:E58"/>
    <mergeCell ref="F57:F58"/>
    <mergeCell ref="AA42:AD42"/>
    <mergeCell ref="B43:N43"/>
    <mergeCell ref="C47:F47"/>
    <mergeCell ref="G47:J47"/>
    <mergeCell ref="K47:N47"/>
    <mergeCell ref="O47:R47"/>
    <mergeCell ref="S47:V47"/>
    <mergeCell ref="W47:Z47"/>
    <mergeCell ref="AA47:AD47"/>
    <mergeCell ref="C42:F42"/>
    <mergeCell ref="AA40:AA41"/>
    <mergeCell ref="AB40:AB41"/>
    <mergeCell ref="AC40:AC41"/>
    <mergeCell ref="AD40:AD41"/>
    <mergeCell ref="G42:J42"/>
    <mergeCell ref="K42:N42"/>
    <mergeCell ref="O42:R42"/>
    <mergeCell ref="S42:V42"/>
    <mergeCell ref="R40:R41"/>
    <mergeCell ref="W42:Z42"/>
    <mergeCell ref="U40:U41"/>
    <mergeCell ref="V40:V41"/>
    <mergeCell ref="W40:W41"/>
    <mergeCell ref="X40:X41"/>
    <mergeCell ref="Y40:Y41"/>
    <mergeCell ref="Z40:Z41"/>
    <mergeCell ref="S40:S41"/>
    <mergeCell ref="T40:T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C38:F38"/>
    <mergeCell ref="A39:A42"/>
    <mergeCell ref="B39:B42"/>
    <mergeCell ref="C39:AD39"/>
    <mergeCell ref="C40:C41"/>
    <mergeCell ref="D40:D41"/>
    <mergeCell ref="E40:E41"/>
    <mergeCell ref="F40:F41"/>
    <mergeCell ref="G40:G41"/>
    <mergeCell ref="A14:A16"/>
    <mergeCell ref="B14:B16"/>
    <mergeCell ref="C14:F14"/>
    <mergeCell ref="C15:C16"/>
    <mergeCell ref="D15:D16"/>
    <mergeCell ref="E15:E16"/>
    <mergeCell ref="M3:P3"/>
    <mergeCell ref="B75:U75"/>
    <mergeCell ref="B90:Z90"/>
    <mergeCell ref="F15:F16"/>
    <mergeCell ref="B32:F32"/>
    <mergeCell ref="C17:E17"/>
    <mergeCell ref="H40:H41"/>
    <mergeCell ref="C11:F11"/>
    <mergeCell ref="A12:F12"/>
    <mergeCell ref="A13:F13"/>
  </mergeCells>
  <printOptions/>
  <pageMargins left="0.19" right="0.16" top="0.28" bottom="0.28" header="0.18" footer="0.21"/>
  <pageSetup horizontalDpi="600" verticalDpi="600" orientation="landscape" paperSize="9" scale="55" r:id="rId2"/>
  <rowBreaks count="1" manualBreakCount="1">
    <brk id="51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Чемальского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Косолапова</dc:creator>
  <cp:keywords/>
  <dc:description/>
  <cp:lastModifiedBy>Шмальц МА</cp:lastModifiedBy>
  <cp:lastPrinted>2017-10-06T07:05:05Z</cp:lastPrinted>
  <dcterms:created xsi:type="dcterms:W3CDTF">2008-10-09T05:26:36Z</dcterms:created>
  <dcterms:modified xsi:type="dcterms:W3CDTF">2017-10-06T07:05:35Z</dcterms:modified>
  <cp:category/>
  <cp:version/>
  <cp:contentType/>
  <cp:contentStatus/>
</cp:coreProperties>
</file>